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601" activeTab="18"/>
  </bookViews>
  <sheets>
    <sheet name="1" sheetId="1" r:id="rId1"/>
    <sheet name="2" sheetId="2" r:id="rId2"/>
    <sheet name="3" sheetId="3" r:id="rId3"/>
    <sheet name="4" sheetId="4" r:id="rId4"/>
    <sheet name="5" sheetId="5" r:id="rId5"/>
    <sheet name="Salini" sheetId="6" r:id="rId6"/>
    <sheet name="Impresa" sheetId="7" r:id="rId7"/>
    <sheet name="6" sheetId="8" r:id="rId8"/>
    <sheet name="8" sheetId="9" r:id="rId9"/>
    <sheet name="Akkord" sheetId="10" r:id="rId10"/>
    <sheet name="Azerkorpu" sheetId="11" r:id="rId11"/>
    <sheet name="Summury Todini" sheetId="12" r:id="rId12"/>
    <sheet name="9" sheetId="13" r:id="rId13"/>
    <sheet name="10" sheetId="14" r:id="rId14"/>
    <sheet name="11" sheetId="15" r:id="rId15"/>
    <sheet name="12" sheetId="16" r:id="rId16"/>
    <sheet name="13" sheetId="17" r:id="rId17"/>
    <sheet name="14" sheetId="18" r:id="rId18"/>
    <sheet name="Свод по Кызылорде" sheetId="19" r:id="rId19"/>
  </sheets>
  <externalReferences>
    <externalReference r:id="rId22"/>
    <externalReference r:id="rId23"/>
  </externalReferences>
  <definedNames>
    <definedName name="Excel_BuiltIn_Print_Area_4_1">#REF!</definedName>
    <definedName name="_xlnm.Print_Area" localSheetId="13">'10'!$A$1:$U$32</definedName>
    <definedName name="_xlnm.Print_Area" localSheetId="14">'11'!$A$1:$U$33</definedName>
    <definedName name="_xlnm.Print_Area" localSheetId="15">'12'!$A$1:$U$33</definedName>
    <definedName name="_xlnm.Print_Area" localSheetId="16">'13'!$A$1:$U$33</definedName>
    <definedName name="_xlnm.Print_Area" localSheetId="17">'14'!$A$1:$U$33</definedName>
    <definedName name="_xlnm.Print_Area" localSheetId="12">'9'!$A$1:$U$33</definedName>
    <definedName name="_xlnm.Print_Area" localSheetId="10">'Azerkorpu'!$A$1:$U$31</definedName>
    <definedName name="_xlnm.Print_Area" localSheetId="11">'Summury Todini'!$A$1:$U$35</definedName>
    <definedName name="_xlnm.Print_Area" localSheetId="18">'Свод по Кызылорде'!$A$1:$U$34</definedName>
  </definedNames>
  <calcPr fullCalcOnLoad="1"/>
</workbook>
</file>

<file path=xl/comments5.xml><?xml version="1.0" encoding="utf-8"?>
<comments xmlns="http://schemas.openxmlformats.org/spreadsheetml/2006/main">
  <authors>
    <author>Ирфан</author>
  </authors>
  <commentList>
    <comment ref="D17" authorId="0">
      <text>
        <r>
          <rPr>
            <b/>
            <sz val="8"/>
            <rFont val="Tahoma"/>
            <family val="2"/>
          </rPr>
          <t>Ирфан:</t>
        </r>
        <r>
          <rPr>
            <sz val="8"/>
            <rFont val="Tahoma"/>
            <family val="2"/>
          </rPr>
          <t xml:space="preserve">
94.05 по плану</t>
        </r>
      </text>
    </comment>
  </commentList>
</comments>
</file>

<file path=xl/comments8.xml><?xml version="1.0" encoding="utf-8"?>
<comments xmlns="http://schemas.openxmlformats.org/spreadsheetml/2006/main">
  <authors>
    <author>Admin</author>
  </authors>
  <commentList>
    <comment ref="D18" authorId="0">
      <text>
        <r>
          <rPr>
            <b/>
            <sz val="8"/>
            <rFont val="Tahoma"/>
            <family val="2"/>
          </rPr>
          <t>Думаю один из объемов Геотекстиля 1020.1 м2;  и  1051.3 м2; является Георешоткой!?</t>
        </r>
      </text>
    </comment>
  </commentList>
</comments>
</file>

<file path=xl/sharedStrings.xml><?xml version="1.0" encoding="utf-8"?>
<sst xmlns="http://schemas.openxmlformats.org/spreadsheetml/2006/main" count="1508" uniqueCount="87">
  <si>
    <t>март</t>
  </si>
  <si>
    <t>апрель</t>
  </si>
  <si>
    <t>шт</t>
  </si>
  <si>
    <t>февраль</t>
  </si>
  <si>
    <t>январь</t>
  </si>
  <si>
    <t>май</t>
  </si>
  <si>
    <t>№п.п.</t>
  </si>
  <si>
    <t>Наименование материала</t>
  </si>
  <si>
    <t>Ед.изм.</t>
  </si>
  <si>
    <t>план по месяцам</t>
  </si>
  <si>
    <t>факт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</si>
  <si>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</si>
  <si>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</si>
  <si>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</si>
  <si>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</si>
  <si>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</si>
  <si>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</si>
  <si>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</si>
  <si>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Щебень фракционный в т.ч.</t>
  </si>
  <si>
    <t>тыс.тн</t>
  </si>
  <si>
    <t>на приготовление а/б</t>
  </si>
  <si>
    <t>для устройства основания</t>
  </si>
  <si>
    <t>Отсев</t>
  </si>
  <si>
    <t xml:space="preserve">Песок </t>
  </si>
  <si>
    <t>ПГС</t>
  </si>
  <si>
    <t>Минеральный порошок</t>
  </si>
  <si>
    <t>Битум</t>
  </si>
  <si>
    <t>Цемент</t>
  </si>
  <si>
    <t>ЖБИ изделия</t>
  </si>
  <si>
    <t>тыс.м3</t>
  </si>
  <si>
    <t>Геосинтетические материалы</t>
  </si>
  <si>
    <t>тыс.м2</t>
  </si>
  <si>
    <t>Сигнальные столбики</t>
  </si>
  <si>
    <t>Краска для разметки</t>
  </si>
  <si>
    <t>Перильное ограждение</t>
  </si>
  <si>
    <t>п/м</t>
  </si>
  <si>
    <t>Дорожные знаки</t>
  </si>
  <si>
    <t>Опоры освещения</t>
  </si>
  <si>
    <t>Криволинейный брус</t>
  </si>
  <si>
    <t>Металические стойки для дорожных знаков</t>
  </si>
  <si>
    <t>Термопластик</t>
  </si>
  <si>
    <t>тн</t>
  </si>
  <si>
    <t>Металческие конструкции</t>
  </si>
  <si>
    <t>Целлюлозная добавка</t>
  </si>
  <si>
    <t>Фермент "Дорзин"</t>
  </si>
  <si>
    <t>л.</t>
  </si>
  <si>
    <t xml:space="preserve">Анкера для бетонного покрытия </t>
  </si>
  <si>
    <t>Дюбеля для бетонного покрытия</t>
  </si>
  <si>
    <t>Арматура для бетона</t>
  </si>
  <si>
    <t xml:space="preserve">план </t>
  </si>
  <si>
    <t>Потребность на 2012 г.</t>
  </si>
  <si>
    <t>-</t>
  </si>
  <si>
    <t xml:space="preserve">                                                                                                                               График                                                                                                                                                                                                                                                                                                                                                                                                                                                                                       
заготовки дорожно-строительных материалов по объекту реконструкции км 1837 - 1877  автомобильной дороги  «Самара-Шымкент»   ЛОТ 9</t>
  </si>
  <si>
    <t xml:space="preserve">                                                                                                                               График                                                                                                                                                                                                                                                                                                                                                                                                                                                                                       
заготовки дорожно-строительных материалов по объекту реконструкции км 1877 - 1917 автомобильной дороги  «Самара-Шымкент»   ЛОТ 10</t>
  </si>
  <si>
    <t xml:space="preserve">                                                                                                                               График                                                                                                                                                                                                                                                                                                                                                                                                                                                                                       
заготовки дорожно-строительных материалов по объекту реконструкции км 1917 - 1947 автомобильной дороги  «Самара-Шымкент»   ЛОТ 11</t>
  </si>
  <si>
    <t xml:space="preserve">                                                                                                                               График                                                                                                                                                                                                                                                                                                                                                                                                                                                                                       
заготовки дорожно-строительных материалов по объекту реконструкции км 1917 - 1980 автомобильной дороги  «Самара-Шымкент»   ЛОТ 12</t>
  </si>
  <si>
    <t xml:space="preserve">                                                                                                                               График                                                                                                                                                                                                                                                                                                                                                                                                                                                                                       
заготовки дорожно-строительных материалов по объекту реконструкции км 1980 - 2012 автомобильной дороги  «Самара-Шымкент»   ЛОТ 13</t>
  </si>
  <si>
    <t xml:space="preserve">                                                                                                                               График                                                                                                                                                                                                                                                                                                                                                                                                                                                                                       
заготовки дорожно-строительных материалов по объекту реконструкции км 2012 - 2057 автомобильной дороги  «Самара-Шымкент»   ЛОТ 14</t>
  </si>
  <si>
    <t xml:space="preserve">                                                                                                                               График                                                                                                                                                                                                                                                                                                                                                                                                                                                                                       
заготовки дорожно-строительных материалов по объекту реконструкции км 1837 - 2057  автомобильной дороги  «Самара-Шымкент»   ЛОТ 9 - 14</t>
  </si>
  <si>
    <t xml:space="preserve">Подрядчик: ______________ </t>
  </si>
  <si>
    <t xml:space="preserve">Консультант по надзору за строительством : _________________ </t>
  </si>
  <si>
    <t xml:space="preserve">                                                                                                                               График                                                                                                                                                                                                                                                                                                                                                                                                                                                                                       
заготовки дорожно-строительных материалов по объекту реконструкции км 1240-1330 автомобильной дороги  «Самара-Шымкент»   ЛОТ 1</t>
  </si>
  <si>
    <t>Щебень фракционный в т.ч./Crush stone</t>
  </si>
  <si>
    <t>на приготовление а/б/For Asphalt</t>
  </si>
  <si>
    <t>для устройства основания/For Base</t>
  </si>
  <si>
    <t>Отсев/Screening</t>
  </si>
  <si>
    <t>ПГС/Sand Gravel Mix</t>
  </si>
  <si>
    <t>Битум/Bitumen</t>
  </si>
  <si>
    <t>Металлические конструкции</t>
  </si>
  <si>
    <t xml:space="preserve">                                                                                                                      График                                                                                                                                                                                                                                                                                                                                                                                                                                                                                       
                                      заготовки дорожно-строительных материалов по объекту реконструкции км 1330-1398 автомобильной дороги  «Самара-Шымкент»   ЛОТ 2</t>
  </si>
  <si>
    <t xml:space="preserve">                                                                                                                               График                                                                                                                                                                                                                                                                                                                                                                                                                                                                                       
заготовки дорожно-строительных материалов по объекту реконструкции км  1398-1498  автомобильной дороги  «Самара-Шымкент»   ЛОТ 3</t>
  </si>
  <si>
    <t xml:space="preserve">                                                                                                                               График                                                                                                                                                                                                                                                                                                                                                                                                                                                                                       
заготовки дорожно-строительных материалов по объекту реконструкции км  1498-1578  автомобильной дороги  «Самара-Шымкент»   ЛОТ 4</t>
  </si>
  <si>
    <t xml:space="preserve">                                                                                                                               График                                                                                                                                                                                                                                                                                                                                                                                                                                                                                       
заготовки дорожно-строительных материалов по объекту реконструкции км 1578 - 1650 автомобильной дороги  «Самара-Шымкент»   ЛОТ 5</t>
  </si>
  <si>
    <t xml:space="preserve"> График заготовки дорожно-строительных материалов по Контрактам Салини</t>
  </si>
  <si>
    <t xml:space="preserve">                                                                                                                               График                                                                                                                                                                                                                                                                                                                                                                                                                                                                                       
заготовки дорожно-строительных материалов по объекту реконструкции км 1702-1752 автомобильной дороги  «Самара-Шымкент»   ЛОТ 7</t>
  </si>
  <si>
    <t>Георешетка</t>
  </si>
  <si>
    <t xml:space="preserve">                                                                                                                               График                                                                                                                                                                                                                                                                                                                                                                                                                                                                                       
заготовки дорожно-строительных материалов по объекту реконструкции км 1650-1702 автомобильной дороги  «Самара-Шымкент»   ЛОТ 6</t>
  </si>
  <si>
    <t>График заготовки дорожно-строительных материалов по Кызылординской области</t>
  </si>
  <si>
    <t xml:space="preserve">                                              График  заготовки дорожно-строительных материалов                                                                                                                                                                  по объекту реконструкции км 1807 - 1837  автомобильной дороги  «Самара-Шымкент»   Азеркорпу</t>
  </si>
  <si>
    <t>общая потребность по контракту</t>
  </si>
  <si>
    <t>заготовлено в 2010 и 2011гг</t>
  </si>
  <si>
    <t>по состоянию на</t>
  </si>
  <si>
    <t>План на 2012 год</t>
  </si>
  <si>
    <t>Общая потребность по контракту</t>
  </si>
  <si>
    <t>заготовлено в 2010 и 2011 гг</t>
  </si>
  <si>
    <t>20.01.2012г</t>
  </si>
  <si>
    <t xml:space="preserve"> 20.01.2012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</si>
</sst>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mm/yy"/>
    <numFmt numFmtId="175" formatCode="#,##0.0"/>
    <numFmt numFmtId="176" formatCode="0.0000"/>
    <numFmt numFmtId="177" formatCode="0.00000"/>
    <numFmt numFmtId="178" formatCode="_-* #,##0.000_р_._-;\-* #,##0.000_р_._-;_-* &quot;-&quot;??_р_._-;_-@_-"/>
    <numFmt numFmtId="179" formatCode="0.000000"/>
    <numFmt numFmtId="180" formatCode="#,##0.0_р_."/>
    <numFmt numFmtId="181" formatCode="_-* #,##0.0_р_._-;\-* #,##0.0_р_._-;_-* &quot;-&quot;??_р_._-;_-@_-"/>
    <numFmt numFmtId="182" formatCode="_-* #,##0.0_р_._-;\-* #,##0.0_р_._-;_-* &quot;-&quot;?_р_._-;_-@_-"/>
    <numFmt numFmtId="183" formatCode="_-* #,##0.000_р_._-;\-* #,##0.000_р_._-;_-* &quot;-&quot;???_р_._-;_-@_-"/>
    <numFmt numFmtId="184" formatCode="_-* #,##0_р_._-;\-* #,##0_р_._-;_-* &quot;-&quot;??_р_._-;_-@_-"/>
    <numFmt numFmtId="185" formatCode="#,##0.000"/>
    <numFmt numFmtId="186" formatCode="0.0000000"/>
    <numFmt numFmtId="187" formatCode="0.00000000"/>
  </numFmts>
  <fonts count="6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.5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i/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Arial Cyr"/>
      <family val="2"/>
    </font>
    <font>
      <b/>
      <i/>
      <sz val="14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13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8"/>
      <color indexed="8"/>
      <name val="Arial"/>
      <family val="2"/>
    </font>
    <font>
      <b/>
      <i/>
      <sz val="9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name val="Arial Cyr"/>
      <family val="0"/>
    </font>
    <font>
      <b/>
      <sz val="10.5"/>
      <color indexed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0"/>
      <color theme="1"/>
      <name val="Arial Cyr"/>
      <family val="0"/>
    </font>
    <font>
      <sz val="10"/>
      <color theme="1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thin">
        <color indexed="8"/>
      </right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>
        <color indexed="63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medium"/>
      <right style="hair">
        <color indexed="8"/>
      </right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784">
    <xf numFmtId="0" fontId="0" fillId="0" borderId="0" xfId="0" applyAlignment="1">
      <alignment/>
    </xf>
    <xf numFmtId="0" fontId="20" fillId="0" borderId="0" xfId="0" applyFont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2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horizontal="center" vertical="center" wrapText="1"/>
    </xf>
    <xf numFmtId="175" fontId="28" fillId="0" borderId="0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0" fillId="6" borderId="16" xfId="0" applyFont="1" applyFill="1" applyBorder="1" applyAlignment="1">
      <alignment horizontal="center" vertical="center" wrapText="1"/>
    </xf>
    <xf numFmtId="0" fontId="20" fillId="6" borderId="1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  <xf numFmtId="0" fontId="20" fillId="6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30" fillId="6" borderId="18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24" borderId="18" xfId="0" applyFont="1" applyFill="1" applyBorder="1" applyAlignment="1">
      <alignment horizontal="center" vertical="center" wrapText="1"/>
    </xf>
    <xf numFmtId="0" fontId="30" fillId="6" borderId="20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vertical="center" wrapText="1"/>
    </xf>
    <xf numFmtId="0" fontId="22" fillId="6" borderId="15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0" fontId="22" fillId="24" borderId="15" xfId="0" applyFont="1" applyFill="1" applyBorder="1" applyAlignment="1">
      <alignment vertical="center" wrapText="1"/>
    </xf>
    <xf numFmtId="0" fontId="22" fillId="6" borderId="17" xfId="0" applyFont="1" applyFill="1" applyBorder="1" applyAlignment="1">
      <alignment vertical="center" wrapText="1"/>
    </xf>
    <xf numFmtId="0" fontId="10" fillId="24" borderId="21" xfId="0" applyFont="1" applyFill="1" applyBorder="1" applyAlignment="1">
      <alignment horizontal="center" vertical="center"/>
    </xf>
    <xf numFmtId="0" fontId="10" fillId="24" borderId="22" xfId="0" applyFont="1" applyFill="1" applyBorder="1" applyAlignment="1">
      <alignment horizontal="center" vertical="center"/>
    </xf>
    <xf numFmtId="0" fontId="10" fillId="24" borderId="23" xfId="0" applyFont="1" applyFill="1" applyBorder="1" applyAlignment="1">
      <alignment horizontal="center" vertical="center"/>
    </xf>
    <xf numFmtId="0" fontId="10" fillId="24" borderId="24" xfId="0" applyFont="1" applyFill="1" applyBorder="1" applyAlignment="1">
      <alignment horizontal="center" vertical="center"/>
    </xf>
    <xf numFmtId="0" fontId="10" fillId="25" borderId="25" xfId="0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/>
    </xf>
    <xf numFmtId="0" fontId="10" fillId="6" borderId="27" xfId="0" applyFont="1" applyFill="1" applyBorder="1" applyAlignment="1">
      <alignment horizontal="center" vertical="center"/>
    </xf>
    <xf numFmtId="0" fontId="10" fillId="6" borderId="28" xfId="0" applyFont="1" applyFill="1" applyBorder="1" applyAlignment="1">
      <alignment horizontal="center" vertical="center"/>
    </xf>
    <xf numFmtId="0" fontId="10" fillId="24" borderId="26" xfId="0" applyFont="1" applyFill="1" applyBorder="1" applyAlignment="1">
      <alignment horizontal="center" vertical="center"/>
    </xf>
    <xf numFmtId="0" fontId="10" fillId="24" borderId="27" xfId="0" applyFont="1" applyFill="1" applyBorder="1" applyAlignment="1">
      <alignment horizontal="center" vertical="center"/>
    </xf>
    <xf numFmtId="0" fontId="10" fillId="24" borderId="28" xfId="0" applyFont="1" applyFill="1" applyBorder="1" applyAlignment="1">
      <alignment horizontal="center" vertical="center"/>
    </xf>
    <xf numFmtId="172" fontId="10" fillId="6" borderId="26" xfId="0" applyNumberFormat="1" applyFont="1" applyFill="1" applyBorder="1" applyAlignment="1">
      <alignment horizontal="center" vertical="center"/>
    </xf>
    <xf numFmtId="0" fontId="10" fillId="24" borderId="25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0" fillId="6" borderId="29" xfId="0" applyFont="1" applyFill="1" applyBorder="1" applyAlignment="1">
      <alignment horizontal="center" vertical="center"/>
    </xf>
    <xf numFmtId="0" fontId="10" fillId="6" borderId="30" xfId="0" applyFont="1" applyFill="1" applyBorder="1" applyAlignment="1">
      <alignment horizontal="center" vertical="center"/>
    </xf>
    <xf numFmtId="0" fontId="10" fillId="24" borderId="31" xfId="0" applyFont="1" applyFill="1" applyBorder="1" applyAlignment="1">
      <alignment horizontal="center" vertical="center"/>
    </xf>
    <xf numFmtId="0" fontId="10" fillId="24" borderId="29" xfId="0" applyFont="1" applyFill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10" fillId="24" borderId="33" xfId="0" applyFont="1" applyFill="1" applyBorder="1" applyAlignment="1">
      <alignment horizontal="center" vertical="center"/>
    </xf>
    <xf numFmtId="0" fontId="10" fillId="25" borderId="27" xfId="0" applyFont="1" applyFill="1" applyBorder="1" applyAlignment="1">
      <alignment horizontal="center" vertical="center"/>
    </xf>
    <xf numFmtId="0" fontId="10" fillId="6" borderId="32" xfId="0" applyFont="1" applyFill="1" applyBorder="1" applyAlignment="1">
      <alignment horizontal="center" vertical="center"/>
    </xf>
    <xf numFmtId="0" fontId="10" fillId="6" borderId="25" xfId="0" applyFont="1" applyFill="1" applyBorder="1" applyAlignment="1">
      <alignment horizontal="center" vertical="center"/>
    </xf>
    <xf numFmtId="0" fontId="10" fillId="25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2" fontId="10" fillId="24" borderId="21" xfId="0" applyNumberFormat="1" applyFont="1" applyFill="1" applyBorder="1" applyAlignment="1">
      <alignment horizontal="center" vertical="center"/>
    </xf>
    <xf numFmtId="2" fontId="10" fillId="0" borderId="16" xfId="0" applyNumberFormat="1" applyFont="1" applyFill="1" applyBorder="1" applyAlignment="1">
      <alignment horizontal="center" vertical="center"/>
    </xf>
    <xf numFmtId="2" fontId="10" fillId="25" borderId="16" xfId="0" applyNumberFormat="1" applyFont="1" applyFill="1" applyBorder="1" applyAlignment="1">
      <alignment horizontal="center" vertical="center"/>
    </xf>
    <xf numFmtId="2" fontId="10" fillId="25" borderId="25" xfId="0" applyNumberFormat="1" applyFont="1" applyFill="1" applyBorder="1" applyAlignment="1">
      <alignment horizontal="center" vertical="center"/>
    </xf>
    <xf numFmtId="2" fontId="10" fillId="25" borderId="27" xfId="0" applyNumberFormat="1" applyFont="1" applyFill="1" applyBorder="1" applyAlignment="1">
      <alignment horizontal="center" vertical="center"/>
    </xf>
    <xf numFmtId="0" fontId="25" fillId="6" borderId="34" xfId="0" applyFont="1" applyFill="1" applyBorder="1" applyAlignment="1">
      <alignment horizontal="center" vertical="center" wrapText="1"/>
    </xf>
    <xf numFmtId="0" fontId="22" fillId="6" borderId="35" xfId="0" applyFont="1" applyFill="1" applyBorder="1" applyAlignment="1">
      <alignment vertical="center" wrapText="1"/>
    </xf>
    <xf numFmtId="0" fontId="20" fillId="6" borderId="35" xfId="0" applyFont="1" applyFill="1" applyBorder="1" applyAlignment="1">
      <alignment horizontal="center" vertical="center" wrapText="1"/>
    </xf>
    <xf numFmtId="0" fontId="10" fillId="25" borderId="36" xfId="0" applyFont="1" applyFill="1" applyBorder="1" applyAlignment="1">
      <alignment horizontal="center" vertical="center"/>
    </xf>
    <xf numFmtId="0" fontId="10" fillId="25" borderId="37" xfId="0" applyFont="1" applyFill="1" applyBorder="1" applyAlignment="1">
      <alignment horizontal="center" vertical="center"/>
    </xf>
    <xf numFmtId="0" fontId="10" fillId="25" borderId="35" xfId="0" applyFont="1" applyFill="1" applyBorder="1" applyAlignment="1">
      <alignment horizontal="center" vertical="center"/>
    </xf>
    <xf numFmtId="0" fontId="10" fillId="6" borderId="38" xfId="0" applyFont="1" applyFill="1" applyBorder="1" applyAlignment="1">
      <alignment horizontal="center" vertical="center"/>
    </xf>
    <xf numFmtId="0" fontId="10" fillId="6" borderId="37" xfId="0" applyFont="1" applyFill="1" applyBorder="1" applyAlignment="1">
      <alignment horizontal="center" vertical="center"/>
    </xf>
    <xf numFmtId="0" fontId="10" fillId="6" borderId="39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vertical="center" wrapText="1"/>
    </xf>
    <xf numFmtId="0" fontId="10" fillId="24" borderId="36" xfId="0" applyFont="1" applyFill="1" applyBorder="1" applyAlignment="1">
      <alignment horizontal="center" vertical="center"/>
    </xf>
    <xf numFmtId="0" fontId="10" fillId="24" borderId="37" xfId="0" applyFont="1" applyFill="1" applyBorder="1" applyAlignment="1">
      <alignment horizontal="center" vertical="center"/>
    </xf>
    <xf numFmtId="0" fontId="10" fillId="24" borderId="38" xfId="0" applyFont="1" applyFill="1" applyBorder="1" applyAlignment="1">
      <alignment horizontal="center" vertical="center"/>
    </xf>
    <xf numFmtId="0" fontId="10" fillId="24" borderId="39" xfId="0" applyFont="1" applyFill="1" applyBorder="1" applyAlignment="1">
      <alignment horizontal="center" vertical="center"/>
    </xf>
    <xf numFmtId="0" fontId="30" fillId="24" borderId="40" xfId="0" applyFont="1" applyFill="1" applyBorder="1" applyAlignment="1">
      <alignment horizontal="center" vertical="center" wrapText="1"/>
    </xf>
    <xf numFmtId="0" fontId="22" fillId="24" borderId="41" xfId="0" applyFont="1" applyFill="1" applyBorder="1" applyAlignment="1">
      <alignment vertical="center" wrapText="1"/>
    </xf>
    <xf numFmtId="0" fontId="20" fillId="24" borderId="41" xfId="0" applyFont="1" applyFill="1" applyBorder="1" applyAlignment="1">
      <alignment horizontal="center" vertical="center" wrapText="1"/>
    </xf>
    <xf numFmtId="0" fontId="10" fillId="24" borderId="42" xfId="0" applyFont="1" applyFill="1" applyBorder="1" applyAlignment="1">
      <alignment horizontal="center" vertical="center"/>
    </xf>
    <xf numFmtId="0" fontId="10" fillId="24" borderId="4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24" borderId="44" xfId="0" applyFont="1" applyFill="1" applyBorder="1" applyAlignment="1">
      <alignment horizontal="center" vertical="center"/>
    </xf>
    <xf numFmtId="0" fontId="10" fillId="24" borderId="45" xfId="0" applyFont="1" applyFill="1" applyBorder="1" applyAlignment="1">
      <alignment horizontal="center" vertical="center"/>
    </xf>
    <xf numFmtId="0" fontId="10" fillId="25" borderId="17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/>
    </xf>
    <xf numFmtId="0" fontId="10" fillId="24" borderId="32" xfId="0" applyFont="1" applyFill="1" applyBorder="1" applyAlignment="1">
      <alignment horizontal="center" vertical="center"/>
    </xf>
    <xf numFmtId="0" fontId="10" fillId="24" borderId="30" xfId="0" applyFont="1" applyFill="1" applyBorder="1" applyAlignment="1">
      <alignment horizontal="center" vertical="center"/>
    </xf>
    <xf numFmtId="0" fontId="10" fillId="25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72" fontId="10" fillId="25" borderId="27" xfId="0" applyNumberFormat="1" applyFont="1" applyFill="1" applyBorder="1" applyAlignment="1">
      <alignment horizontal="center" vertical="center"/>
    </xf>
    <xf numFmtId="172" fontId="10" fillId="0" borderId="35" xfId="0" applyNumberFormat="1" applyFont="1" applyFill="1" applyBorder="1" applyAlignment="1">
      <alignment horizontal="center" vertical="center"/>
    </xf>
    <xf numFmtId="172" fontId="10" fillId="0" borderId="16" xfId="0" applyNumberFormat="1" applyFont="1" applyFill="1" applyBorder="1" applyAlignment="1">
      <alignment horizontal="center" vertical="center"/>
    </xf>
    <xf numFmtId="172" fontId="10" fillId="24" borderId="38" xfId="0" applyNumberFormat="1" applyFont="1" applyFill="1" applyBorder="1" applyAlignment="1">
      <alignment horizontal="center" vertical="center"/>
    </xf>
    <xf numFmtId="172" fontId="10" fillId="25" borderId="37" xfId="0" applyNumberFormat="1" applyFont="1" applyFill="1" applyBorder="1" applyAlignment="1">
      <alignment horizontal="center" vertical="center"/>
    </xf>
    <xf numFmtId="2" fontId="10" fillId="6" borderId="26" xfId="0" applyNumberFormat="1" applyFont="1" applyFill="1" applyBorder="1" applyAlignment="1">
      <alignment horizontal="center" vertical="center"/>
    </xf>
    <xf numFmtId="172" fontId="10" fillId="25" borderId="16" xfId="0" applyNumberFormat="1" applyFont="1" applyFill="1" applyBorder="1" applyAlignment="1">
      <alignment horizontal="center" vertical="center"/>
    </xf>
    <xf numFmtId="0" fontId="20" fillId="24" borderId="16" xfId="0" applyFont="1" applyFill="1" applyBorder="1" applyAlignment="1">
      <alignment horizontal="center" vertical="center" wrapText="1"/>
    </xf>
    <xf numFmtId="0" fontId="20" fillId="6" borderId="46" xfId="0" applyFont="1" applyFill="1" applyBorder="1" applyAlignment="1">
      <alignment horizontal="center" vertical="center" wrapText="1"/>
    </xf>
    <xf numFmtId="0" fontId="20" fillId="24" borderId="47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172" fontId="10" fillId="25" borderId="25" xfId="0" applyNumberFormat="1" applyFont="1" applyFill="1" applyBorder="1" applyAlignment="1">
      <alignment horizontal="center" vertical="center"/>
    </xf>
    <xf numFmtId="2" fontId="10" fillId="25" borderId="36" xfId="0" applyNumberFormat="1" applyFont="1" applyFill="1" applyBorder="1" applyAlignment="1">
      <alignment horizontal="center" vertical="center"/>
    </xf>
    <xf numFmtId="2" fontId="10" fillId="24" borderId="36" xfId="0" applyNumberFormat="1" applyFont="1" applyFill="1" applyBorder="1" applyAlignment="1">
      <alignment horizontal="center" vertical="center"/>
    </xf>
    <xf numFmtId="2" fontId="10" fillId="25" borderId="35" xfId="0" applyNumberFormat="1" applyFont="1" applyFill="1" applyBorder="1" applyAlignment="1">
      <alignment horizontal="center" vertical="center"/>
    </xf>
    <xf numFmtId="172" fontId="10" fillId="24" borderId="21" xfId="0" applyNumberFormat="1" applyFont="1" applyFill="1" applyBorder="1" applyAlignment="1">
      <alignment horizontal="center" vertical="center"/>
    </xf>
    <xf numFmtId="172" fontId="10" fillId="24" borderId="36" xfId="0" applyNumberFormat="1" applyFont="1" applyFill="1" applyBorder="1" applyAlignment="1">
      <alignment horizontal="center" vertical="center"/>
    </xf>
    <xf numFmtId="173" fontId="10" fillId="0" borderId="35" xfId="0" applyNumberFormat="1" applyFont="1" applyFill="1" applyBorder="1" applyAlignment="1">
      <alignment horizontal="center" vertical="center"/>
    </xf>
    <xf numFmtId="172" fontId="10" fillId="6" borderId="36" xfId="0" applyNumberFormat="1" applyFont="1" applyFill="1" applyBorder="1" applyAlignment="1">
      <alignment horizontal="center" vertical="center"/>
    </xf>
    <xf numFmtId="2" fontId="10" fillId="6" borderId="25" xfId="0" applyNumberFormat="1" applyFont="1" applyFill="1" applyBorder="1" applyAlignment="1">
      <alignment horizontal="center" vertical="center"/>
    </xf>
    <xf numFmtId="2" fontId="10" fillId="24" borderId="26" xfId="0" applyNumberFormat="1" applyFont="1" applyFill="1" applyBorder="1" applyAlignment="1">
      <alignment horizontal="center" vertical="center"/>
    </xf>
    <xf numFmtId="173" fontId="10" fillId="6" borderId="26" xfId="0" applyNumberFormat="1" applyFont="1" applyFill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172" fontId="10" fillId="6" borderId="50" xfId="0" applyNumberFormat="1" applyFont="1" applyFill="1" applyBorder="1" applyAlignment="1">
      <alignment horizontal="center" vertical="center"/>
    </xf>
    <xf numFmtId="172" fontId="10" fillId="24" borderId="50" xfId="0" applyNumberFormat="1" applyFont="1" applyFill="1" applyBorder="1" applyAlignment="1">
      <alignment horizontal="center" vertical="center"/>
    </xf>
    <xf numFmtId="2" fontId="10" fillId="6" borderId="51" xfId="0" applyNumberFormat="1" applyFont="1" applyFill="1" applyBorder="1" applyAlignment="1">
      <alignment horizontal="center" vertical="center"/>
    </xf>
    <xf numFmtId="0" fontId="10" fillId="24" borderId="51" xfId="0" applyFont="1" applyFill="1" applyBorder="1" applyAlignment="1">
      <alignment horizontal="center" vertical="center"/>
    </xf>
    <xf numFmtId="0" fontId="10" fillId="6" borderId="51" xfId="0" applyFont="1" applyFill="1" applyBorder="1" applyAlignment="1">
      <alignment horizontal="center" vertical="center"/>
    </xf>
    <xf numFmtId="0" fontId="10" fillId="24" borderId="52" xfId="0" applyFont="1" applyFill="1" applyBorder="1" applyAlignment="1">
      <alignment horizontal="center" vertical="center"/>
    </xf>
    <xf numFmtId="0" fontId="10" fillId="24" borderId="53" xfId="0" applyFont="1" applyFill="1" applyBorder="1" applyAlignment="1">
      <alignment horizontal="center" vertical="center"/>
    </xf>
    <xf numFmtId="0" fontId="10" fillId="6" borderId="53" xfId="0" applyFont="1" applyFill="1" applyBorder="1" applyAlignment="1">
      <alignment horizontal="center" vertical="center"/>
    </xf>
    <xf numFmtId="172" fontId="10" fillId="25" borderId="35" xfId="0" applyNumberFormat="1" applyFont="1" applyFill="1" applyBorder="1" applyAlignment="1">
      <alignment horizontal="center" vertical="center"/>
    </xf>
    <xf numFmtId="1" fontId="10" fillId="24" borderId="29" xfId="0" applyNumberFormat="1" applyFont="1" applyFill="1" applyBorder="1" applyAlignment="1">
      <alignment horizontal="center" vertical="center"/>
    </xf>
    <xf numFmtId="2" fontId="10" fillId="24" borderId="25" xfId="0" applyNumberFormat="1" applyFont="1" applyFill="1" applyBorder="1" applyAlignment="1">
      <alignment horizontal="center" vertical="center"/>
    </xf>
    <xf numFmtId="2" fontId="10" fillId="24" borderId="27" xfId="0" applyNumberFormat="1" applyFont="1" applyFill="1" applyBorder="1" applyAlignment="1">
      <alignment horizontal="center" vertical="center"/>
    </xf>
    <xf numFmtId="2" fontId="10" fillId="0" borderId="15" xfId="0" applyNumberFormat="1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 wrapText="1"/>
    </xf>
    <xf numFmtId="1" fontId="10" fillId="24" borderId="27" xfId="0" applyNumberFormat="1" applyFont="1" applyFill="1" applyBorder="1" applyAlignment="1">
      <alignment horizontal="center" vertical="center"/>
    </xf>
    <xf numFmtId="172" fontId="10" fillId="24" borderId="34" xfId="0" applyNumberFormat="1" applyFont="1" applyFill="1" applyBorder="1" applyAlignment="1">
      <alignment horizontal="center" vertical="center"/>
    </xf>
    <xf numFmtId="172" fontId="10" fillId="24" borderId="54" xfId="0" applyNumberFormat="1" applyFont="1" applyFill="1" applyBorder="1" applyAlignment="1">
      <alignment horizontal="center" vertical="center"/>
    </xf>
    <xf numFmtId="2" fontId="10" fillId="6" borderId="18" xfId="0" applyNumberFormat="1" applyFont="1" applyFill="1" applyBorder="1" applyAlignment="1">
      <alignment horizontal="center" vertical="center"/>
    </xf>
    <xf numFmtId="2" fontId="10" fillId="6" borderId="13" xfId="0" applyNumberFormat="1" applyFont="1" applyFill="1" applyBorder="1" applyAlignment="1">
      <alignment horizontal="center" vertical="center"/>
    </xf>
    <xf numFmtId="2" fontId="10" fillId="6" borderId="55" xfId="0" applyNumberFormat="1" applyFont="1" applyFill="1" applyBorder="1" applyAlignment="1">
      <alignment horizontal="center" vertical="center"/>
    </xf>
    <xf numFmtId="2" fontId="10" fillId="24" borderId="33" xfId="0" applyNumberFormat="1" applyFont="1" applyFill="1" applyBorder="1" applyAlignment="1">
      <alignment horizontal="center" vertical="center"/>
    </xf>
    <xf numFmtId="2" fontId="10" fillId="25" borderId="37" xfId="0" applyNumberFormat="1" applyFont="1" applyFill="1" applyBorder="1" applyAlignment="1">
      <alignment horizontal="center" vertical="center"/>
    </xf>
    <xf numFmtId="1" fontId="10" fillId="24" borderId="21" xfId="0" applyNumberFormat="1" applyFont="1" applyFill="1" applyBorder="1" applyAlignment="1">
      <alignment horizontal="center" vertical="center"/>
    </xf>
    <xf numFmtId="4" fontId="35" fillId="0" borderId="56" xfId="63" applyNumberFormat="1" applyFont="1" applyFill="1" applyBorder="1" applyAlignment="1">
      <alignment vertical="center"/>
    </xf>
    <xf numFmtId="4" fontId="0" fillId="24" borderId="0" xfId="0" applyNumberFormat="1" applyFill="1" applyAlignment="1">
      <alignment/>
    </xf>
    <xf numFmtId="2" fontId="10" fillId="24" borderId="51" xfId="0" applyNumberFormat="1" applyFont="1" applyFill="1" applyBorder="1" applyAlignment="1">
      <alignment horizontal="center" vertical="center"/>
    </xf>
    <xf numFmtId="0" fontId="10" fillId="25" borderId="57" xfId="0" applyFont="1" applyFill="1" applyBorder="1" applyAlignment="1">
      <alignment horizontal="center" vertical="center"/>
    </xf>
    <xf numFmtId="2" fontId="10" fillId="24" borderId="12" xfId="0" applyNumberFormat="1" applyFont="1" applyFill="1" applyBorder="1" applyAlignment="1">
      <alignment horizontal="center" vertical="center"/>
    </xf>
    <xf numFmtId="0" fontId="36" fillId="0" borderId="58" xfId="0" applyFont="1" applyFill="1" applyBorder="1" applyAlignment="1">
      <alignment horizontal="center" vertical="center" wrapText="1"/>
    </xf>
    <xf numFmtId="1" fontId="10" fillId="25" borderId="25" xfId="0" applyNumberFormat="1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10" fillId="24" borderId="57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172" fontId="10" fillId="25" borderId="42" xfId="0" applyNumberFormat="1" applyFont="1" applyFill="1" applyBorder="1" applyAlignment="1">
      <alignment horizontal="center" vertical="center"/>
    </xf>
    <xf numFmtId="0" fontId="10" fillId="24" borderId="60" xfId="0" applyFont="1" applyFill="1" applyBorder="1" applyAlignment="1">
      <alignment horizontal="center" vertical="center"/>
    </xf>
    <xf numFmtId="0" fontId="10" fillId="24" borderId="59" xfId="0" applyFont="1" applyFill="1" applyBorder="1" applyAlignment="1">
      <alignment horizontal="center" vertical="center"/>
    </xf>
    <xf numFmtId="0" fontId="10" fillId="24" borderId="61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 wrapText="1"/>
    </xf>
    <xf numFmtId="0" fontId="10" fillId="6" borderId="59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 wrapText="1"/>
    </xf>
    <xf numFmtId="2" fontId="10" fillId="25" borderId="62" xfId="0" applyNumberFormat="1" applyFont="1" applyFill="1" applyBorder="1" applyAlignment="1">
      <alignment horizontal="center" vertical="center"/>
    </xf>
    <xf numFmtId="2" fontId="10" fillId="6" borderId="36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42" fillId="0" borderId="0" xfId="0" applyFont="1" applyBorder="1" applyAlignment="1">
      <alignment horizontal="center" vertical="center"/>
    </xf>
    <xf numFmtId="0" fontId="40" fillId="0" borderId="53" xfId="0" applyFont="1" applyFill="1" applyBorder="1" applyAlignment="1">
      <alignment horizontal="center" vertical="center" wrapText="1"/>
    </xf>
    <xf numFmtId="0" fontId="41" fillId="24" borderId="0" xfId="0" applyFont="1" applyFill="1" applyBorder="1" applyAlignment="1">
      <alignment horizontal="center" vertical="center"/>
    </xf>
    <xf numFmtId="0" fontId="1" fillId="24" borderId="0" xfId="0" applyFont="1" applyFill="1" applyAlignment="1">
      <alignment/>
    </xf>
    <xf numFmtId="0" fontId="40" fillId="0" borderId="15" xfId="0" applyFont="1" applyFill="1" applyBorder="1" applyAlignment="1">
      <alignment horizontal="center" vertical="center" wrapText="1"/>
    </xf>
    <xf numFmtId="0" fontId="47" fillId="6" borderId="18" xfId="0" applyFont="1" applyFill="1" applyBorder="1" applyAlignment="1">
      <alignment horizontal="center" vertical="center" wrapText="1"/>
    </xf>
    <xf numFmtId="0" fontId="47" fillId="6" borderId="15" xfId="0" applyFont="1" applyFill="1" applyBorder="1" applyAlignment="1">
      <alignment vertical="center" wrapText="1"/>
    </xf>
    <xf numFmtId="1" fontId="41" fillId="25" borderId="51" xfId="0" applyNumberFormat="1" applyFont="1" applyFill="1" applyBorder="1" applyAlignment="1">
      <alignment horizontal="center" vertical="center"/>
    </xf>
    <xf numFmtId="1" fontId="41" fillId="25" borderId="25" xfId="0" applyNumberFormat="1" applyFont="1" applyFill="1" applyBorder="1" applyAlignment="1">
      <alignment horizontal="center" vertical="center"/>
    </xf>
    <xf numFmtId="172" fontId="48" fillId="24" borderId="0" xfId="0" applyNumberFormat="1" applyFont="1" applyFill="1" applyBorder="1" applyAlignment="1">
      <alignment horizontal="center"/>
    </xf>
    <xf numFmtId="0" fontId="48" fillId="24" borderId="0" xfId="0" applyFont="1" applyFill="1" applyBorder="1" applyAlignment="1">
      <alignment horizontal="center"/>
    </xf>
    <xf numFmtId="2" fontId="48" fillId="24" borderId="0" xfId="0" applyNumberFormat="1" applyFont="1" applyFill="1" applyBorder="1" applyAlignment="1">
      <alignment horizontal="center"/>
    </xf>
    <xf numFmtId="0" fontId="47" fillId="0" borderId="63" xfId="0" applyFont="1" applyFill="1" applyBorder="1" applyAlignment="1">
      <alignment vertical="center" wrapText="1"/>
    </xf>
    <xf numFmtId="0" fontId="47" fillId="0" borderId="54" xfId="0" applyFont="1" applyFill="1" applyBorder="1" applyAlignment="1">
      <alignment vertical="center" wrapText="1"/>
    </xf>
    <xf numFmtId="0" fontId="41" fillId="6" borderId="26" xfId="0" applyFont="1" applyFill="1" applyBorder="1" applyAlignment="1">
      <alignment horizontal="center" vertical="center"/>
    </xf>
    <xf numFmtId="0" fontId="47" fillId="24" borderId="18" xfId="0" applyFont="1" applyFill="1" applyBorder="1" applyAlignment="1">
      <alignment horizontal="center" vertical="center" wrapText="1"/>
    </xf>
    <xf numFmtId="0" fontId="47" fillId="24" borderId="15" xfId="0" applyFont="1" applyFill="1" applyBorder="1" applyAlignment="1">
      <alignment vertical="center" wrapText="1"/>
    </xf>
    <xf numFmtId="0" fontId="48" fillId="24" borderId="26" xfId="0" applyFont="1" applyFill="1" applyBorder="1" applyAlignment="1">
      <alignment horizontal="center" vertical="center"/>
    </xf>
    <xf numFmtId="0" fontId="48" fillId="24" borderId="27" xfId="0" applyFont="1" applyFill="1" applyBorder="1" applyAlignment="1">
      <alignment horizontal="center" vertical="center"/>
    </xf>
    <xf numFmtId="0" fontId="48" fillId="24" borderId="28" xfId="0" applyFont="1" applyFill="1" applyBorder="1" applyAlignment="1">
      <alignment horizontal="center" vertical="center"/>
    </xf>
    <xf numFmtId="0" fontId="41" fillId="25" borderId="15" xfId="0" applyFont="1" applyFill="1" applyBorder="1" applyAlignment="1">
      <alignment horizontal="center" vertical="center"/>
    </xf>
    <xf numFmtId="0" fontId="41" fillId="6" borderId="27" xfId="0" applyFont="1" applyFill="1" applyBorder="1" applyAlignment="1">
      <alignment horizontal="center" vertical="center"/>
    </xf>
    <xf numFmtId="0" fontId="41" fillId="6" borderId="28" xfId="0" applyFont="1" applyFill="1" applyBorder="1" applyAlignment="1">
      <alignment horizontal="center" vertical="center"/>
    </xf>
    <xf numFmtId="0" fontId="48" fillId="6" borderId="26" xfId="0" applyFont="1" applyFill="1" applyBorder="1" applyAlignment="1">
      <alignment horizontal="center" vertical="center"/>
    </xf>
    <xf numFmtId="172" fontId="48" fillId="6" borderId="26" xfId="0" applyNumberFormat="1" applyFont="1" applyFill="1" applyBorder="1" applyAlignment="1">
      <alignment horizontal="center" vertical="center"/>
    </xf>
    <xf numFmtId="0" fontId="48" fillId="6" borderId="27" xfId="0" applyFont="1" applyFill="1" applyBorder="1" applyAlignment="1">
      <alignment horizontal="center" vertical="center"/>
    </xf>
    <xf numFmtId="0" fontId="48" fillId="6" borderId="28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/>
    </xf>
    <xf numFmtId="0" fontId="47" fillId="0" borderId="64" xfId="0" applyFont="1" applyFill="1" applyBorder="1" applyAlignment="1">
      <alignment vertical="center" wrapText="1"/>
    </xf>
    <xf numFmtId="0" fontId="48" fillId="24" borderId="65" xfId="0" applyFont="1" applyFill="1" applyBorder="1" applyAlignment="1">
      <alignment horizontal="center" vertical="center"/>
    </xf>
    <xf numFmtId="0" fontId="48" fillId="24" borderId="58" xfId="0" applyFont="1" applyFill="1" applyBorder="1" applyAlignment="1">
      <alignment horizontal="center" vertical="center"/>
    </xf>
    <xf numFmtId="0" fontId="47" fillId="0" borderId="66" xfId="0" applyFont="1" applyFill="1" applyBorder="1" applyAlignment="1">
      <alignment vertical="center" wrapText="1"/>
    </xf>
    <xf numFmtId="0" fontId="48" fillId="24" borderId="67" xfId="0" applyFont="1" applyFill="1" applyBorder="1" applyAlignment="1">
      <alignment horizontal="center" vertical="center"/>
    </xf>
    <xf numFmtId="0" fontId="48" fillId="24" borderId="68" xfId="0" applyFont="1" applyFill="1" applyBorder="1" applyAlignment="1">
      <alignment horizontal="center" vertical="center"/>
    </xf>
    <xf numFmtId="0" fontId="47" fillId="0" borderId="69" xfId="0" applyFont="1" applyFill="1" applyBorder="1" applyAlignment="1">
      <alignment vertical="center" wrapText="1"/>
    </xf>
    <xf numFmtId="0" fontId="48" fillId="24" borderId="70" xfId="0" applyFont="1" applyFill="1" applyBorder="1" applyAlignment="1">
      <alignment horizontal="center" vertical="center"/>
    </xf>
    <xf numFmtId="0" fontId="48" fillId="24" borderId="71" xfId="0" applyFont="1" applyFill="1" applyBorder="1" applyAlignment="1">
      <alignment horizontal="center" vertical="center"/>
    </xf>
    <xf numFmtId="0" fontId="47" fillId="0" borderId="72" xfId="0" applyFont="1" applyFill="1" applyBorder="1" applyAlignment="1">
      <alignment vertical="center" wrapText="1"/>
    </xf>
    <xf numFmtId="0" fontId="48" fillId="24" borderId="24" xfId="0" applyFont="1" applyFill="1" applyBorder="1" applyAlignment="1">
      <alignment horizontal="center" vertical="center"/>
    </xf>
    <xf numFmtId="0" fontId="48" fillId="24" borderId="22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/>
    </xf>
    <xf numFmtId="0" fontId="47" fillId="0" borderId="53" xfId="0" applyFont="1" applyFill="1" applyBorder="1" applyAlignment="1">
      <alignment horizontal="center" vertical="center" wrapText="1"/>
    </xf>
    <xf numFmtId="0" fontId="47" fillId="24" borderId="0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7" fillId="6" borderId="17" xfId="0" applyFont="1" applyFill="1" applyBorder="1" applyAlignment="1">
      <alignment horizontal="center" vertical="center" wrapText="1"/>
    </xf>
    <xf numFmtId="0" fontId="49" fillId="24" borderId="0" xfId="0" applyFont="1" applyFill="1" applyBorder="1" applyAlignment="1">
      <alignment horizontal="center"/>
    </xf>
    <xf numFmtId="172" fontId="49" fillId="24" borderId="0" xfId="0" applyNumberFormat="1" applyFont="1" applyFill="1" applyBorder="1" applyAlignment="1">
      <alignment horizontal="center"/>
    </xf>
    <xf numFmtId="2" fontId="49" fillId="24" borderId="0" xfId="0" applyNumberFormat="1" applyFont="1" applyFill="1" applyBorder="1" applyAlignment="1">
      <alignment horizontal="center"/>
    </xf>
    <xf numFmtId="0" fontId="49" fillId="0" borderId="73" xfId="0" applyFont="1" applyFill="1" applyBorder="1" applyAlignment="1">
      <alignment horizontal="center" vertical="center" wrapText="1"/>
    </xf>
    <xf numFmtId="0" fontId="49" fillId="0" borderId="74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6" borderId="15" xfId="0" applyFont="1" applyFill="1" applyBorder="1" applyAlignment="1">
      <alignment horizontal="center" vertical="center" wrapText="1"/>
    </xf>
    <xf numFmtId="0" fontId="41" fillId="6" borderId="25" xfId="0" applyFont="1" applyFill="1" applyBorder="1" applyAlignment="1">
      <alignment horizontal="center" vertical="center"/>
    </xf>
    <xf numFmtId="0" fontId="47" fillId="24" borderId="19" xfId="0" applyFont="1" applyFill="1" applyBorder="1" applyAlignment="1">
      <alignment horizontal="center" vertical="center" wrapText="1"/>
    </xf>
    <xf numFmtId="0" fontId="41" fillId="24" borderId="75" xfId="0" applyFont="1" applyFill="1" applyBorder="1" applyAlignment="1">
      <alignment horizontal="center" vertical="center"/>
    </xf>
    <xf numFmtId="0" fontId="48" fillId="24" borderId="48" xfId="0" applyFont="1" applyFill="1" applyBorder="1" applyAlignment="1">
      <alignment horizontal="center" vertical="center"/>
    </xf>
    <xf numFmtId="0" fontId="48" fillId="24" borderId="76" xfId="0" applyFont="1" applyFill="1" applyBorder="1" applyAlignment="1">
      <alignment horizontal="center" vertical="center"/>
    </xf>
    <xf numFmtId="0" fontId="48" fillId="24" borderId="49" xfId="0" applyFont="1" applyFill="1" applyBorder="1" applyAlignment="1">
      <alignment horizontal="center" vertical="center"/>
    </xf>
    <xf numFmtId="0" fontId="48" fillId="6" borderId="25" xfId="0" applyFont="1" applyFill="1" applyBorder="1" applyAlignment="1">
      <alignment horizontal="center" vertical="center"/>
    </xf>
    <xf numFmtId="0" fontId="47" fillId="24" borderId="15" xfId="0" applyFont="1" applyFill="1" applyBorder="1" applyAlignment="1">
      <alignment horizontal="center" vertical="center" wrapText="1"/>
    </xf>
    <xf numFmtId="0" fontId="48" fillId="24" borderId="25" xfId="0" applyFont="1" applyFill="1" applyBorder="1" applyAlignment="1">
      <alignment horizontal="center" vertical="center"/>
    </xf>
    <xf numFmtId="0" fontId="47" fillId="6" borderId="17" xfId="0" applyFont="1" applyFill="1" applyBorder="1" applyAlignment="1">
      <alignment vertical="center" wrapText="1"/>
    </xf>
    <xf numFmtId="0" fontId="48" fillId="6" borderId="12" xfId="0" applyFont="1" applyFill="1" applyBorder="1" applyAlignment="1">
      <alignment horizontal="center" vertical="center"/>
    </xf>
    <xf numFmtId="0" fontId="48" fillId="6" borderId="29" xfId="0" applyFont="1" applyFill="1" applyBorder="1" applyAlignment="1">
      <alignment horizontal="center" vertical="center"/>
    </xf>
    <xf numFmtId="0" fontId="48" fillId="6" borderId="30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vertical="center" wrapText="1"/>
    </xf>
    <xf numFmtId="0" fontId="47" fillId="6" borderId="64" xfId="0" applyFont="1" applyFill="1" applyBorder="1" applyAlignment="1">
      <alignment vertical="center" wrapText="1"/>
    </xf>
    <xf numFmtId="0" fontId="47" fillId="6" borderId="64" xfId="0" applyFont="1" applyFill="1" applyBorder="1" applyAlignment="1">
      <alignment horizontal="center" vertical="center" wrapText="1"/>
    </xf>
    <xf numFmtId="0" fontId="48" fillId="6" borderId="75" xfId="0" applyFont="1" applyFill="1" applyBorder="1" applyAlignment="1">
      <alignment horizontal="center" vertical="center"/>
    </xf>
    <xf numFmtId="0" fontId="48" fillId="6" borderId="58" xfId="0" applyFont="1" applyFill="1" applyBorder="1" applyAlignment="1">
      <alignment horizontal="center" vertical="center"/>
    </xf>
    <xf numFmtId="0" fontId="48" fillId="6" borderId="65" xfId="0" applyFont="1" applyFill="1" applyBorder="1" applyAlignment="1">
      <alignment horizontal="center" vertical="center"/>
    </xf>
    <xf numFmtId="0" fontId="47" fillId="0" borderId="69" xfId="0" applyFont="1" applyFill="1" applyBorder="1" applyAlignment="1">
      <alignment horizontal="center" vertical="center" wrapText="1"/>
    </xf>
    <xf numFmtId="0" fontId="48" fillId="24" borderId="21" xfId="0" applyFont="1" applyFill="1" applyBorder="1" applyAlignment="1">
      <alignment horizontal="center" vertical="center"/>
    </xf>
    <xf numFmtId="0" fontId="47" fillId="6" borderId="69" xfId="0" applyFont="1" applyFill="1" applyBorder="1" applyAlignment="1">
      <alignment vertical="center" wrapText="1"/>
    </xf>
    <xf numFmtId="0" fontId="47" fillId="6" borderId="69" xfId="0" applyFont="1" applyFill="1" applyBorder="1" applyAlignment="1">
      <alignment horizontal="center" vertical="center" wrapText="1"/>
    </xf>
    <xf numFmtId="0" fontId="48" fillId="6" borderId="71" xfId="0" applyFont="1" applyFill="1" applyBorder="1" applyAlignment="1">
      <alignment horizontal="center" vertical="center"/>
    </xf>
    <xf numFmtId="0" fontId="48" fillId="6" borderId="70" xfId="0" applyFont="1" applyFill="1" applyBorder="1" applyAlignment="1">
      <alignment horizontal="center" vertical="center"/>
    </xf>
    <xf numFmtId="0" fontId="48" fillId="6" borderId="21" xfId="0" applyFont="1" applyFill="1" applyBorder="1" applyAlignment="1">
      <alignment horizontal="center" vertical="center"/>
    </xf>
    <xf numFmtId="0" fontId="47" fillId="0" borderId="72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41" fillId="0" borderId="0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52" fillId="24" borderId="0" xfId="0" applyFont="1" applyFill="1" applyAlignment="1">
      <alignment/>
    </xf>
    <xf numFmtId="0" fontId="47" fillId="6" borderId="40" xfId="0" applyFont="1" applyFill="1" applyBorder="1" applyAlignment="1">
      <alignment horizontal="center" vertical="center" wrapText="1"/>
    </xf>
    <xf numFmtId="173" fontId="48" fillId="24" borderId="0" xfId="0" applyNumberFormat="1" applyFont="1" applyFill="1" applyBorder="1" applyAlignment="1">
      <alignment horizontal="center"/>
    </xf>
    <xf numFmtId="178" fontId="48" fillId="24" borderId="0" xfId="0" applyNumberFormat="1" applyFont="1" applyFill="1" applyBorder="1" applyAlignment="1">
      <alignment horizontal="center"/>
    </xf>
    <xf numFmtId="43" fontId="48" fillId="24" borderId="0" xfId="0" applyNumberFormat="1" applyFont="1" applyFill="1" applyBorder="1" applyAlignment="1">
      <alignment horizontal="center"/>
    </xf>
    <xf numFmtId="2" fontId="48" fillId="0" borderId="77" xfId="0" applyNumberFormat="1" applyFont="1" applyFill="1" applyBorder="1" applyAlignment="1">
      <alignment horizontal="center" vertical="center"/>
    </xf>
    <xf numFmtId="0" fontId="48" fillId="0" borderId="74" xfId="0" applyFont="1" applyFill="1" applyBorder="1" applyAlignment="1">
      <alignment horizontal="center" vertical="center"/>
    </xf>
    <xf numFmtId="183" fontId="48" fillId="24" borderId="0" xfId="0" applyNumberFormat="1" applyFont="1" applyFill="1" applyBorder="1" applyAlignment="1">
      <alignment horizontal="center"/>
    </xf>
    <xf numFmtId="0" fontId="52" fillId="24" borderId="0" xfId="0" applyFont="1" applyFill="1" applyBorder="1" applyAlignment="1">
      <alignment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 wrapText="1"/>
    </xf>
    <xf numFmtId="4" fontId="48" fillId="0" borderId="0" xfId="0" applyNumberFormat="1" applyFont="1" applyFill="1" applyBorder="1" applyAlignment="1">
      <alignment horizontal="center" vertical="center" wrapText="1"/>
    </xf>
    <xf numFmtId="175" fontId="48" fillId="0" borderId="0" xfId="0" applyNumberFormat="1" applyFont="1" applyFill="1" applyBorder="1" applyAlignment="1">
      <alignment horizontal="center" vertical="center" wrapText="1"/>
    </xf>
    <xf numFmtId="3" fontId="48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Border="1" applyAlignment="1">
      <alignment/>
    </xf>
    <xf numFmtId="173" fontId="1" fillId="0" borderId="0" xfId="0" applyNumberFormat="1" applyFont="1" applyAlignment="1">
      <alignment/>
    </xf>
    <xf numFmtId="0" fontId="47" fillId="0" borderId="30" xfId="0" applyFont="1" applyBorder="1" applyAlignment="1">
      <alignment horizontal="center" vertical="center"/>
    </xf>
    <xf numFmtId="0" fontId="48" fillId="0" borderId="78" xfId="0" applyFont="1" applyFill="1" applyBorder="1" applyAlignment="1">
      <alignment horizontal="center" vertical="center"/>
    </xf>
    <xf numFmtId="0" fontId="48" fillId="0" borderId="79" xfId="0" applyFont="1" applyFill="1" applyBorder="1" applyAlignment="1">
      <alignment horizontal="center" vertical="center"/>
    </xf>
    <xf numFmtId="172" fontId="48" fillId="0" borderId="74" xfId="0" applyNumberFormat="1" applyFont="1" applyFill="1" applyBorder="1" applyAlignment="1">
      <alignment horizontal="center" vertical="center"/>
    </xf>
    <xf numFmtId="2" fontId="48" fillId="0" borderId="74" xfId="0" applyNumberFormat="1" applyFont="1" applyFill="1" applyBorder="1" applyAlignment="1">
      <alignment horizontal="center" vertical="center"/>
    </xf>
    <xf numFmtId="0" fontId="48" fillId="0" borderId="80" xfId="0" applyFont="1" applyFill="1" applyBorder="1" applyAlignment="1">
      <alignment horizontal="center" vertical="center"/>
    </xf>
    <xf numFmtId="0" fontId="48" fillId="24" borderId="81" xfId="0" applyFont="1" applyFill="1" applyBorder="1" applyAlignment="1">
      <alignment horizontal="center" vertical="center"/>
    </xf>
    <xf numFmtId="0" fontId="48" fillId="24" borderId="82" xfId="0" applyFont="1" applyFill="1" applyBorder="1" applyAlignment="1">
      <alignment horizontal="center" vertical="center"/>
    </xf>
    <xf numFmtId="0" fontId="47" fillId="24" borderId="40" xfId="0" applyFont="1" applyFill="1" applyBorder="1" applyAlignment="1">
      <alignment horizontal="center" vertical="center" wrapText="1"/>
    </xf>
    <xf numFmtId="173" fontId="1" fillId="24" borderId="0" xfId="0" applyNumberFormat="1" applyFont="1" applyFill="1" applyAlignment="1">
      <alignment/>
    </xf>
    <xf numFmtId="0" fontId="47" fillId="0" borderId="64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55" fillId="0" borderId="0" xfId="0" applyFont="1" applyBorder="1" applyAlignment="1">
      <alignment horizontal="center" vertical="center"/>
    </xf>
    <xf numFmtId="173" fontId="55" fillId="0" borderId="0" xfId="0" applyNumberFormat="1" applyFont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 wrapText="1"/>
    </xf>
    <xf numFmtId="0" fontId="47" fillId="6" borderId="41" xfId="0" applyFont="1" applyFill="1" applyBorder="1" applyAlignment="1">
      <alignment horizontal="center" vertical="center" wrapText="1"/>
    </xf>
    <xf numFmtId="2" fontId="41" fillId="25" borderId="42" xfId="0" applyNumberFormat="1" applyFont="1" applyFill="1" applyBorder="1" applyAlignment="1">
      <alignment horizontal="center" vertical="center"/>
    </xf>
    <xf numFmtId="2" fontId="41" fillId="25" borderId="83" xfId="0" applyNumberFormat="1" applyFont="1" applyFill="1" applyBorder="1" applyAlignment="1">
      <alignment horizontal="center" vertical="center"/>
    </xf>
    <xf numFmtId="172" fontId="41" fillId="25" borderId="41" xfId="0" applyNumberFormat="1" applyFont="1" applyFill="1" applyBorder="1" applyAlignment="1">
      <alignment horizontal="center" vertical="center"/>
    </xf>
    <xf numFmtId="172" fontId="41" fillId="25" borderId="42" xfId="0" applyNumberFormat="1" applyFont="1" applyFill="1" applyBorder="1" applyAlignment="1">
      <alignment horizontal="center" vertical="center"/>
    </xf>
    <xf numFmtId="1" fontId="41" fillId="25" borderId="42" xfId="0" applyNumberFormat="1" applyFont="1" applyFill="1" applyBorder="1" applyAlignment="1">
      <alignment horizontal="center" vertical="center"/>
    </xf>
    <xf numFmtId="1" fontId="41" fillId="25" borderId="84" xfId="0" applyNumberFormat="1" applyFont="1" applyFill="1" applyBorder="1" applyAlignment="1">
      <alignment horizontal="center" vertical="center"/>
    </xf>
    <xf numFmtId="2" fontId="47" fillId="24" borderId="0" xfId="0" applyNumberFormat="1" applyFont="1" applyFill="1" applyBorder="1" applyAlignment="1">
      <alignment horizontal="center"/>
    </xf>
    <xf numFmtId="0" fontId="49" fillId="0" borderId="85" xfId="0" applyFont="1" applyFill="1" applyBorder="1" applyAlignment="1">
      <alignment horizontal="center" vertical="center" wrapText="1"/>
    </xf>
    <xf numFmtId="0" fontId="49" fillId="0" borderId="46" xfId="0" applyFont="1" applyFill="1" applyBorder="1" applyAlignment="1">
      <alignment horizontal="center" vertical="center" wrapText="1"/>
    </xf>
    <xf numFmtId="2" fontId="48" fillId="0" borderId="86" xfId="0" applyNumberFormat="1" applyFont="1" applyFill="1" applyBorder="1" applyAlignment="1">
      <alignment horizontal="center" vertical="center"/>
    </xf>
    <xf numFmtId="2" fontId="48" fillId="0" borderId="87" xfId="0" applyNumberFormat="1" applyFont="1" applyFill="1" applyBorder="1" applyAlignment="1">
      <alignment horizontal="center" vertical="center"/>
    </xf>
    <xf numFmtId="172" fontId="48" fillId="0" borderId="47" xfId="0" applyNumberFormat="1" applyFont="1" applyFill="1" applyBorder="1" applyAlignment="1">
      <alignment horizontal="center" vertical="center"/>
    </xf>
    <xf numFmtId="0" fontId="48" fillId="0" borderId="88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2" fontId="48" fillId="0" borderId="89" xfId="0" applyNumberFormat="1" applyFont="1" applyFill="1" applyBorder="1" applyAlignment="1">
      <alignment horizontal="center" vertical="center"/>
    </xf>
    <xf numFmtId="2" fontId="48" fillId="0" borderId="90" xfId="0" applyNumberFormat="1" applyFont="1" applyFill="1" applyBorder="1" applyAlignment="1">
      <alignment horizontal="center" vertical="center"/>
    </xf>
    <xf numFmtId="0" fontId="48" fillId="0" borderId="91" xfId="0" applyFont="1" applyFill="1" applyBorder="1" applyAlignment="1">
      <alignment horizontal="center" vertical="center"/>
    </xf>
    <xf numFmtId="0" fontId="48" fillId="0" borderId="92" xfId="0" applyFont="1" applyFill="1" applyBorder="1" applyAlignment="1">
      <alignment horizontal="center" vertical="center"/>
    </xf>
    <xf numFmtId="0" fontId="48" fillId="0" borderId="93" xfId="0" applyFont="1" applyFill="1" applyBorder="1" applyAlignment="1">
      <alignment horizontal="center" vertical="center"/>
    </xf>
    <xf numFmtId="0" fontId="48" fillId="0" borderId="94" xfId="0" applyFont="1" applyFill="1" applyBorder="1" applyAlignment="1">
      <alignment horizontal="center" vertical="center"/>
    </xf>
    <xf numFmtId="2" fontId="41" fillId="24" borderId="12" xfId="0" applyNumberFormat="1" applyFont="1" applyFill="1" applyBorder="1" applyAlignment="1">
      <alignment horizontal="center" vertical="center"/>
    </xf>
    <xf numFmtId="2" fontId="41" fillId="24" borderId="32" xfId="0" applyNumberFormat="1" applyFont="1" applyFill="1" applyBorder="1" applyAlignment="1">
      <alignment horizontal="center" vertical="center"/>
    </xf>
    <xf numFmtId="2" fontId="41" fillId="0" borderId="47" xfId="0" applyNumberFormat="1" applyFont="1" applyFill="1" applyBorder="1" applyAlignment="1">
      <alignment horizontal="center" vertical="center"/>
    </xf>
    <xf numFmtId="2" fontId="41" fillId="24" borderId="95" xfId="0" applyNumberFormat="1" applyFont="1" applyFill="1" applyBorder="1" applyAlignment="1">
      <alignment horizontal="center" vertical="center"/>
    </xf>
    <xf numFmtId="2" fontId="41" fillId="25" borderId="25" xfId="0" applyNumberFormat="1" applyFont="1" applyFill="1" applyBorder="1" applyAlignment="1">
      <alignment horizontal="center" vertical="center"/>
    </xf>
    <xf numFmtId="2" fontId="41" fillId="25" borderId="27" xfId="0" applyNumberFormat="1" applyFont="1" applyFill="1" applyBorder="1" applyAlignment="1">
      <alignment horizontal="center" vertical="center"/>
    </xf>
    <xf numFmtId="172" fontId="41" fillId="6" borderId="25" xfId="0" applyNumberFormat="1" applyFont="1" applyFill="1" applyBorder="1" applyAlignment="1">
      <alignment horizontal="center" vertical="center"/>
    </xf>
    <xf numFmtId="172" fontId="41" fillId="6" borderId="26" xfId="0" applyNumberFormat="1" applyFont="1" applyFill="1" applyBorder="1" applyAlignment="1">
      <alignment horizontal="center" vertical="center"/>
    </xf>
    <xf numFmtId="172" fontId="41" fillId="24" borderId="51" xfId="0" applyNumberFormat="1" applyFont="1" applyFill="1" applyBorder="1" applyAlignment="1">
      <alignment horizontal="center" vertical="center"/>
    </xf>
    <xf numFmtId="2" fontId="41" fillId="24" borderId="27" xfId="0" applyNumberFormat="1" applyFont="1" applyFill="1" applyBorder="1" applyAlignment="1">
      <alignment horizontal="center" vertical="center"/>
    </xf>
    <xf numFmtId="172" fontId="41" fillId="24" borderId="15" xfId="0" applyNumberFormat="1" applyFont="1" applyFill="1" applyBorder="1" applyAlignment="1">
      <alignment horizontal="center" vertical="center"/>
    </xf>
    <xf numFmtId="2" fontId="41" fillId="24" borderId="51" xfId="0" applyNumberFormat="1" applyFont="1" applyFill="1" applyBorder="1" applyAlignment="1">
      <alignment horizontal="center" vertical="center"/>
    </xf>
    <xf numFmtId="172" fontId="41" fillId="25" borderId="15" xfId="0" applyNumberFormat="1" applyFont="1" applyFill="1" applyBorder="1" applyAlignment="1">
      <alignment horizontal="center" vertical="center"/>
    </xf>
    <xf numFmtId="2" fontId="41" fillId="24" borderId="75" xfId="0" applyNumberFormat="1" applyFont="1" applyFill="1" applyBorder="1" applyAlignment="1">
      <alignment horizontal="center" vertical="center"/>
    </xf>
    <xf numFmtId="2" fontId="41" fillId="24" borderId="96" xfId="0" applyNumberFormat="1" applyFont="1" applyFill="1" applyBorder="1" applyAlignment="1">
      <alignment horizontal="center" vertical="center"/>
    </xf>
    <xf numFmtId="2" fontId="41" fillId="24" borderId="17" xfId="0" applyNumberFormat="1" applyFont="1" applyFill="1" applyBorder="1" applyAlignment="1">
      <alignment horizontal="center" vertical="center"/>
    </xf>
    <xf numFmtId="0" fontId="41" fillId="24" borderId="60" xfId="0" applyFont="1" applyFill="1" applyBorder="1" applyAlignment="1">
      <alignment horizontal="center" vertical="center"/>
    </xf>
    <xf numFmtId="2" fontId="41" fillId="25" borderId="41" xfId="0" applyNumberFormat="1" applyFont="1" applyFill="1" applyBorder="1" applyAlignment="1">
      <alignment horizontal="center" vertical="center"/>
    </xf>
    <xf numFmtId="2" fontId="41" fillId="24" borderId="15" xfId="0" applyNumberFormat="1" applyFont="1" applyFill="1" applyBorder="1" applyAlignment="1">
      <alignment horizontal="center" vertical="center"/>
    </xf>
    <xf numFmtId="1" fontId="41" fillId="25" borderId="27" xfId="0" applyNumberFormat="1" applyFont="1" applyFill="1" applyBorder="1" applyAlignment="1">
      <alignment horizontal="center" vertical="center"/>
    </xf>
    <xf numFmtId="1" fontId="41" fillId="25" borderId="41" xfId="0" applyNumberFormat="1" applyFont="1" applyFill="1" applyBorder="1" applyAlignment="1">
      <alignment horizontal="center" vertical="center"/>
    </xf>
    <xf numFmtId="172" fontId="48" fillId="24" borderId="25" xfId="0" applyNumberFormat="1" applyFont="1" applyFill="1" applyBorder="1" applyAlignment="1">
      <alignment horizontal="center" vertical="center"/>
    </xf>
    <xf numFmtId="2" fontId="48" fillId="24" borderId="27" xfId="0" applyNumberFormat="1" applyFont="1" applyFill="1" applyBorder="1" applyAlignment="1">
      <alignment horizontal="center" vertical="center"/>
    </xf>
    <xf numFmtId="2" fontId="48" fillId="24" borderId="15" xfId="0" applyNumberFormat="1" applyFont="1" applyFill="1" applyBorder="1" applyAlignment="1">
      <alignment horizontal="center" vertical="center"/>
    </xf>
    <xf numFmtId="1" fontId="41" fillId="6" borderId="12" xfId="0" applyNumberFormat="1" applyFont="1" applyFill="1" applyBorder="1" applyAlignment="1">
      <alignment horizontal="center" vertical="center"/>
    </xf>
    <xf numFmtId="2" fontId="48" fillId="6" borderId="32" xfId="0" applyNumberFormat="1" applyFont="1" applyFill="1" applyBorder="1" applyAlignment="1">
      <alignment horizontal="center" vertical="center"/>
    </xf>
    <xf numFmtId="0" fontId="41" fillId="6" borderId="29" xfId="0" applyFont="1" applyFill="1" applyBorder="1" applyAlignment="1">
      <alignment horizontal="center" vertical="center"/>
    </xf>
    <xf numFmtId="1" fontId="41" fillId="24" borderId="51" xfId="0" applyNumberFormat="1" applyFont="1" applyFill="1" applyBorder="1" applyAlignment="1">
      <alignment horizontal="center" vertical="center"/>
    </xf>
    <xf numFmtId="1" fontId="41" fillId="24" borderId="27" xfId="0" applyNumberFormat="1" applyFont="1" applyFill="1" applyBorder="1" applyAlignment="1">
      <alignment horizontal="center" vertical="center"/>
    </xf>
    <xf numFmtId="1" fontId="41" fillId="24" borderId="15" xfId="0" applyNumberFormat="1" applyFont="1" applyFill="1" applyBorder="1" applyAlignment="1">
      <alignment horizontal="center" vertical="center"/>
    </xf>
    <xf numFmtId="0" fontId="47" fillId="0" borderId="66" xfId="0" applyFont="1" applyFill="1" applyBorder="1" applyAlignment="1">
      <alignment horizontal="center" vertical="center" wrapText="1"/>
    </xf>
    <xf numFmtId="0" fontId="48" fillId="24" borderId="89" xfId="0" applyFont="1" applyFill="1" applyBorder="1" applyAlignment="1">
      <alignment horizontal="center" vertical="center"/>
    </xf>
    <xf numFmtId="1" fontId="41" fillId="25" borderId="15" xfId="0" applyNumberFormat="1" applyFont="1" applyFill="1" applyBorder="1" applyAlignment="1">
      <alignment horizontal="center" vertical="center"/>
    </xf>
    <xf numFmtId="0" fontId="41" fillId="24" borderId="58" xfId="0" applyFont="1" applyFill="1" applyBorder="1" applyAlignment="1">
      <alignment horizontal="center" vertical="center"/>
    </xf>
    <xf numFmtId="0" fontId="41" fillId="24" borderId="65" xfId="0" applyFont="1" applyFill="1" applyBorder="1" applyAlignment="1">
      <alignment horizontal="center" vertical="center"/>
    </xf>
    <xf numFmtId="2" fontId="48" fillId="24" borderId="66" xfId="0" applyNumberFormat="1" applyFont="1" applyFill="1" applyBorder="1" applyAlignment="1">
      <alignment horizontal="center" vertical="center"/>
    </xf>
    <xf numFmtId="173" fontId="41" fillId="25" borderId="51" xfId="0" applyNumberFormat="1" applyFont="1" applyFill="1" applyBorder="1" applyAlignment="1">
      <alignment horizontal="center" vertical="center"/>
    </xf>
    <xf numFmtId="173" fontId="41" fillId="25" borderId="15" xfId="0" applyNumberFormat="1" applyFont="1" applyFill="1" applyBorder="1" applyAlignment="1">
      <alignment horizontal="center" vertical="center"/>
    </xf>
    <xf numFmtId="173" fontId="49" fillId="24" borderId="0" xfId="0" applyNumberFormat="1" applyFont="1" applyFill="1" applyBorder="1" applyAlignment="1">
      <alignment horizontal="center"/>
    </xf>
    <xf numFmtId="2" fontId="48" fillId="24" borderId="75" xfId="0" applyNumberFormat="1" applyFont="1" applyFill="1" applyBorder="1" applyAlignment="1">
      <alignment horizontal="center" vertical="center"/>
    </xf>
    <xf numFmtId="2" fontId="48" fillId="24" borderId="96" xfId="0" applyNumberFormat="1" applyFont="1" applyFill="1" applyBorder="1" applyAlignment="1">
      <alignment horizontal="center" vertical="center"/>
    </xf>
    <xf numFmtId="2" fontId="48" fillId="24" borderId="64" xfId="0" applyNumberFormat="1" applyFont="1" applyFill="1" applyBorder="1" applyAlignment="1">
      <alignment horizontal="center" vertical="center"/>
    </xf>
    <xf numFmtId="0" fontId="48" fillId="24" borderId="75" xfId="0" applyFont="1" applyFill="1" applyBorder="1" applyAlignment="1">
      <alignment horizontal="center" vertical="center"/>
    </xf>
    <xf numFmtId="2" fontId="48" fillId="24" borderId="21" xfId="0" applyNumberFormat="1" applyFont="1" applyFill="1" applyBorder="1" applyAlignment="1">
      <alignment horizontal="center" vertical="center"/>
    </xf>
    <xf numFmtId="2" fontId="48" fillId="24" borderId="33" xfId="0" applyNumberFormat="1" applyFont="1" applyFill="1" applyBorder="1" applyAlignment="1">
      <alignment horizontal="center" vertical="center"/>
    </xf>
    <xf numFmtId="2" fontId="48" fillId="24" borderId="69" xfId="0" applyNumberFormat="1" applyFont="1" applyFill="1" applyBorder="1" applyAlignment="1">
      <alignment horizontal="center" vertical="center"/>
    </xf>
    <xf numFmtId="2" fontId="48" fillId="6" borderId="21" xfId="0" applyNumberFormat="1" applyFont="1" applyFill="1" applyBorder="1" applyAlignment="1">
      <alignment horizontal="center" vertical="center"/>
    </xf>
    <xf numFmtId="2" fontId="48" fillId="6" borderId="33" xfId="0" applyNumberFormat="1" applyFont="1" applyFill="1" applyBorder="1" applyAlignment="1">
      <alignment horizontal="center" vertical="center"/>
    </xf>
    <xf numFmtId="2" fontId="48" fillId="6" borderId="69" xfId="0" applyNumberFormat="1" applyFont="1" applyFill="1" applyBorder="1" applyAlignment="1">
      <alignment horizontal="center" vertical="center"/>
    </xf>
    <xf numFmtId="2" fontId="41" fillId="24" borderId="31" xfId="0" applyNumberFormat="1" applyFont="1" applyFill="1" applyBorder="1" applyAlignment="1">
      <alignment horizontal="center" vertical="center"/>
    </xf>
    <xf numFmtId="2" fontId="48" fillId="24" borderId="23" xfId="0" applyNumberFormat="1" applyFont="1" applyFill="1" applyBorder="1" applyAlignment="1">
      <alignment horizontal="center" vertical="center"/>
    </xf>
    <xf numFmtId="0" fontId="48" fillId="24" borderId="31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47" fillId="0" borderId="15" xfId="0" applyFont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/>
    </xf>
    <xf numFmtId="2" fontId="41" fillId="25" borderId="15" xfId="0" applyNumberFormat="1" applyFont="1" applyFill="1" applyBorder="1" applyAlignment="1">
      <alignment horizontal="center" vertical="center"/>
    </xf>
    <xf numFmtId="2" fontId="48" fillId="0" borderId="15" xfId="0" applyNumberFormat="1" applyFont="1" applyFill="1" applyBorder="1" applyAlignment="1">
      <alignment horizontal="center" vertical="center"/>
    </xf>
    <xf numFmtId="172" fontId="48" fillId="0" borderId="15" xfId="0" applyNumberFormat="1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2" fontId="41" fillId="0" borderId="15" xfId="0" applyNumberFormat="1" applyFont="1" applyFill="1" applyBorder="1" applyAlignment="1">
      <alignment horizontal="center" vertical="center"/>
    </xf>
    <xf numFmtId="0" fontId="48" fillId="24" borderId="15" xfId="0" applyFont="1" applyFill="1" applyBorder="1" applyAlignment="1">
      <alignment horizontal="center" vertical="center"/>
    </xf>
    <xf numFmtId="0" fontId="41" fillId="6" borderId="15" xfId="0" applyFont="1" applyFill="1" applyBorder="1" applyAlignment="1">
      <alignment horizontal="center" vertical="center"/>
    </xf>
    <xf numFmtId="0" fontId="41" fillId="24" borderId="15" xfId="0" applyFont="1" applyFill="1" applyBorder="1" applyAlignment="1">
      <alignment horizontal="center" vertical="center"/>
    </xf>
    <xf numFmtId="0" fontId="48" fillId="6" borderId="15" xfId="0" applyFont="1" applyFill="1" applyBorder="1" applyAlignment="1">
      <alignment horizontal="center" vertical="center"/>
    </xf>
    <xf numFmtId="172" fontId="48" fillId="6" borderId="15" xfId="0" applyNumberFormat="1" applyFont="1" applyFill="1" applyBorder="1" applyAlignment="1">
      <alignment horizontal="center" vertical="center"/>
    </xf>
    <xf numFmtId="172" fontId="48" fillId="24" borderId="15" xfId="0" applyNumberFormat="1" applyFont="1" applyFill="1" applyBorder="1" applyAlignment="1">
      <alignment horizontal="center" vertical="center"/>
    </xf>
    <xf numFmtId="2" fontId="48" fillId="6" borderId="15" xfId="0" applyNumberFormat="1" applyFont="1" applyFill="1" applyBorder="1" applyAlignment="1">
      <alignment horizontal="center" vertical="center"/>
    </xf>
    <xf numFmtId="173" fontId="41" fillId="0" borderId="15" xfId="0" applyNumberFormat="1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7" fillId="26" borderId="15" xfId="0" applyFont="1" applyFill="1" applyBorder="1" applyAlignment="1">
      <alignment horizontal="center" vertical="center" wrapText="1"/>
    </xf>
    <xf numFmtId="0" fontId="47" fillId="26" borderId="15" xfId="0" applyFont="1" applyFill="1" applyBorder="1" applyAlignment="1">
      <alignment vertical="center" wrapText="1"/>
    </xf>
    <xf numFmtId="0" fontId="47" fillId="22" borderId="15" xfId="0" applyFont="1" applyFill="1" applyBorder="1" applyAlignment="1">
      <alignment horizontal="center" vertical="center"/>
    </xf>
    <xf numFmtId="0" fontId="49" fillId="22" borderId="15" xfId="0" applyFont="1" applyFill="1" applyBorder="1" applyAlignment="1">
      <alignment horizontal="center" vertical="center"/>
    </xf>
    <xf numFmtId="0" fontId="47" fillId="25" borderId="15" xfId="0" applyFont="1" applyFill="1" applyBorder="1" applyAlignment="1">
      <alignment horizontal="center" vertical="center"/>
    </xf>
    <xf numFmtId="0" fontId="47" fillId="6" borderId="15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2" fontId="41" fillId="24" borderId="41" xfId="0" applyNumberFormat="1" applyFont="1" applyFill="1" applyBorder="1" applyAlignment="1">
      <alignment horizontal="center" vertical="center"/>
    </xf>
    <xf numFmtId="172" fontId="41" fillId="25" borderId="15" xfId="0" applyNumberFormat="1" applyFont="1" applyFill="1" applyBorder="1" applyAlignment="1">
      <alignment horizontal="center"/>
    </xf>
    <xf numFmtId="0" fontId="41" fillId="25" borderId="15" xfId="0" applyFont="1" applyFill="1" applyBorder="1" applyAlignment="1">
      <alignment horizontal="center"/>
    </xf>
    <xf numFmtId="172" fontId="48" fillId="0" borderId="15" xfId="0" applyNumberFormat="1" applyFont="1" applyFill="1" applyBorder="1" applyAlignment="1">
      <alignment horizontal="center"/>
    </xf>
    <xf numFmtId="0" fontId="48" fillId="0" borderId="15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/>
    </xf>
    <xf numFmtId="0" fontId="47" fillId="27" borderId="15" xfId="0" applyFont="1" applyFill="1" applyBorder="1" applyAlignment="1">
      <alignment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/>
    </xf>
    <xf numFmtId="43" fontId="41" fillId="25" borderId="15" xfId="0" applyNumberFormat="1" applyFont="1" applyFill="1" applyBorder="1" applyAlignment="1">
      <alignment horizontal="center" vertical="center"/>
    </xf>
    <xf numFmtId="181" fontId="47" fillId="25" borderId="15" xfId="0" applyNumberFormat="1" applyFont="1" applyFill="1" applyBorder="1" applyAlignment="1">
      <alignment horizontal="center" vertical="center"/>
    </xf>
    <xf numFmtId="181" fontId="41" fillId="25" borderId="15" xfId="0" applyNumberFormat="1" applyFont="1" applyFill="1" applyBorder="1" applyAlignment="1">
      <alignment horizontal="center" vertical="center"/>
    </xf>
    <xf numFmtId="43" fontId="47" fillId="25" borderId="15" xfId="0" applyNumberFormat="1" applyFont="1" applyFill="1" applyBorder="1" applyAlignment="1">
      <alignment horizontal="center" vertical="center"/>
    </xf>
    <xf numFmtId="43" fontId="47" fillId="0" borderId="15" xfId="0" applyNumberFormat="1" applyFont="1" applyFill="1" applyBorder="1" applyAlignment="1">
      <alignment horizontal="center" vertical="center"/>
    </xf>
    <xf numFmtId="181" fontId="48" fillId="24" borderId="15" xfId="0" applyNumberFormat="1" applyFont="1" applyFill="1" applyBorder="1" applyAlignment="1">
      <alignment horizontal="center" vertical="center"/>
    </xf>
    <xf numFmtId="182" fontId="48" fillId="24" borderId="15" xfId="0" applyNumberFormat="1" applyFont="1" applyFill="1" applyBorder="1" applyAlignment="1">
      <alignment horizontal="center" vertical="center"/>
    </xf>
    <xf numFmtId="0" fontId="49" fillId="24" borderId="15" xfId="0" applyFont="1" applyFill="1" applyBorder="1" applyAlignment="1">
      <alignment horizontal="center" vertical="center"/>
    </xf>
    <xf numFmtId="2" fontId="47" fillId="24" borderId="15" xfId="0" applyNumberFormat="1" applyFont="1" applyFill="1" applyBorder="1" applyAlignment="1">
      <alignment horizontal="center" vertical="center"/>
    </xf>
    <xf numFmtId="43" fontId="41" fillId="0" borderId="15" xfId="0" applyNumberFormat="1" applyFont="1" applyFill="1" applyBorder="1" applyAlignment="1">
      <alignment horizontal="center" vertical="center"/>
    </xf>
    <xf numFmtId="181" fontId="48" fillId="0" borderId="15" xfId="0" applyNumberFormat="1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43" fontId="47" fillId="24" borderId="15" xfId="0" applyNumberFormat="1" applyFont="1" applyFill="1" applyBorder="1" applyAlignment="1">
      <alignment horizontal="center" vertical="center"/>
    </xf>
    <xf numFmtId="0" fontId="47" fillId="24" borderId="15" xfId="0" applyFont="1" applyFill="1" applyBorder="1" applyAlignment="1">
      <alignment horizontal="center" vertical="center"/>
    </xf>
    <xf numFmtId="2" fontId="47" fillId="25" borderId="15" xfId="0" applyNumberFormat="1" applyFont="1" applyFill="1" applyBorder="1" applyAlignment="1">
      <alignment horizontal="center" vertical="center"/>
    </xf>
    <xf numFmtId="172" fontId="47" fillId="6" borderId="15" xfId="0" applyNumberFormat="1" applyFont="1" applyFill="1" applyBorder="1" applyAlignment="1">
      <alignment horizontal="center" vertical="center"/>
    </xf>
    <xf numFmtId="43" fontId="40" fillId="24" borderId="15" xfId="0" applyNumberFormat="1" applyFont="1" applyFill="1" applyBorder="1" applyAlignment="1">
      <alignment horizontal="center" vertical="center"/>
    </xf>
    <xf numFmtId="2" fontId="47" fillId="6" borderId="15" xfId="0" applyNumberFormat="1" applyFont="1" applyFill="1" applyBorder="1" applyAlignment="1">
      <alignment horizontal="center" vertical="center"/>
    </xf>
    <xf numFmtId="184" fontId="41" fillId="25" borderId="15" xfId="0" applyNumberFormat="1" applyFont="1" applyFill="1" applyBorder="1" applyAlignment="1">
      <alignment horizontal="left" vertical="center"/>
    </xf>
    <xf numFmtId="184" fontId="41" fillId="0" borderId="15" xfId="0" applyNumberFormat="1" applyFont="1" applyFill="1" applyBorder="1" applyAlignment="1">
      <alignment horizontal="left" vertical="center"/>
    </xf>
    <xf numFmtId="181" fontId="41" fillId="0" borderId="15" xfId="0" applyNumberFormat="1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 wrapText="1"/>
    </xf>
    <xf numFmtId="1" fontId="48" fillId="25" borderId="15" xfId="0" applyNumberFormat="1" applyFont="1" applyFill="1" applyBorder="1" applyAlignment="1">
      <alignment horizontal="center" vertical="center"/>
    </xf>
    <xf numFmtId="172" fontId="48" fillId="25" borderId="15" xfId="0" applyNumberFormat="1" applyFont="1" applyFill="1" applyBorder="1" applyAlignment="1">
      <alignment horizontal="center" vertical="center"/>
    </xf>
    <xf numFmtId="172" fontId="41" fillId="0" borderId="15" xfId="0" applyNumberFormat="1" applyFont="1" applyFill="1" applyBorder="1" applyAlignment="1">
      <alignment horizontal="center" vertical="center"/>
    </xf>
    <xf numFmtId="0" fontId="48" fillId="25" borderId="15" xfId="0" applyFont="1" applyFill="1" applyBorder="1" applyAlignment="1">
      <alignment horizontal="center" vertical="center"/>
    </xf>
    <xf numFmtId="1" fontId="48" fillId="24" borderId="15" xfId="0" applyNumberFormat="1" applyFont="1" applyFill="1" applyBorder="1" applyAlignment="1">
      <alignment horizontal="center" vertical="center"/>
    </xf>
    <xf numFmtId="1" fontId="48" fillId="0" borderId="15" xfId="0" applyNumberFormat="1" applyFont="1" applyFill="1" applyBorder="1" applyAlignment="1">
      <alignment horizontal="center" vertical="center"/>
    </xf>
    <xf numFmtId="1" fontId="41" fillId="0" borderId="15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25" fillId="6" borderId="15" xfId="0" applyFont="1" applyFill="1" applyBorder="1" applyAlignment="1">
      <alignment horizontal="center" vertical="center" wrapText="1"/>
    </xf>
    <xf numFmtId="2" fontId="10" fillId="25" borderId="15" xfId="0" applyNumberFormat="1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vertical="center" wrapText="1"/>
    </xf>
    <xf numFmtId="2" fontId="10" fillId="24" borderId="15" xfId="0" applyNumberFormat="1" applyFont="1" applyFill="1" applyBorder="1" applyAlignment="1">
      <alignment horizontal="center" vertical="center"/>
    </xf>
    <xf numFmtId="0" fontId="10" fillId="24" borderId="15" xfId="0" applyFont="1" applyFill="1" applyBorder="1" applyAlignment="1">
      <alignment horizontal="center" vertical="center"/>
    </xf>
    <xf numFmtId="172" fontId="10" fillId="0" borderId="15" xfId="0" applyNumberFormat="1" applyFont="1" applyFill="1" applyBorder="1" applyAlignment="1">
      <alignment horizontal="center" vertical="center"/>
    </xf>
    <xf numFmtId="0" fontId="30" fillId="6" borderId="15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24" borderId="15" xfId="0" applyFont="1" applyFill="1" applyBorder="1" applyAlignment="1">
      <alignment horizontal="center" vertical="center" wrapText="1"/>
    </xf>
    <xf numFmtId="1" fontId="10" fillId="25" borderId="15" xfId="0" applyNumberFormat="1" applyFont="1" applyFill="1" applyBorder="1" applyAlignment="1">
      <alignment horizontal="center" vertical="center"/>
    </xf>
    <xf numFmtId="1" fontId="10" fillId="24" borderId="15" xfId="0" applyNumberFormat="1" applyFont="1" applyFill="1" applyBorder="1" applyAlignment="1">
      <alignment horizontal="center" vertical="center"/>
    </xf>
    <xf numFmtId="3" fontId="10" fillId="24" borderId="15" xfId="0" applyNumberFormat="1" applyFont="1" applyFill="1" applyBorder="1" applyAlignment="1">
      <alignment horizontal="center" vertical="center"/>
    </xf>
    <xf numFmtId="172" fontId="10" fillId="24" borderId="15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181" fontId="41" fillId="28" borderId="15" xfId="0" applyNumberFormat="1" applyFont="1" applyFill="1" applyBorder="1" applyAlignment="1">
      <alignment horizontal="center" vertical="center"/>
    </xf>
    <xf numFmtId="181" fontId="48" fillId="28" borderId="15" xfId="0" applyNumberFormat="1" applyFont="1" applyFill="1" applyBorder="1" applyAlignment="1">
      <alignment horizontal="center" vertical="center"/>
    </xf>
    <xf numFmtId="181" fontId="48" fillId="29" borderId="15" xfId="0" applyNumberFormat="1" applyFont="1" applyFill="1" applyBorder="1" applyAlignment="1">
      <alignment horizontal="center" vertical="center"/>
    </xf>
    <xf numFmtId="0" fontId="47" fillId="28" borderId="15" xfId="0" applyFont="1" applyFill="1" applyBorder="1" applyAlignment="1">
      <alignment horizontal="center" vertical="center"/>
    </xf>
    <xf numFmtId="172" fontId="47" fillId="30" borderId="15" xfId="0" applyNumberFormat="1" applyFont="1" applyFill="1" applyBorder="1" applyAlignment="1">
      <alignment horizontal="center" vertical="center"/>
    </xf>
    <xf numFmtId="2" fontId="47" fillId="28" borderId="15" xfId="0" applyNumberFormat="1" applyFont="1" applyFill="1" applyBorder="1" applyAlignment="1">
      <alignment horizontal="center" vertical="center"/>
    </xf>
    <xf numFmtId="0" fontId="47" fillId="30" borderId="15" xfId="0" applyFont="1" applyFill="1" applyBorder="1" applyAlignment="1">
      <alignment horizontal="center" vertical="center"/>
    </xf>
    <xf numFmtId="0" fontId="48" fillId="29" borderId="15" xfId="0" applyFont="1" applyFill="1" applyBorder="1" applyAlignment="1">
      <alignment horizontal="center" vertical="center"/>
    </xf>
    <xf numFmtId="0" fontId="48" fillId="28" borderId="15" xfId="0" applyFont="1" applyFill="1" applyBorder="1" applyAlignment="1">
      <alignment horizontal="center" vertical="center"/>
    </xf>
    <xf numFmtId="0" fontId="48" fillId="30" borderId="15" xfId="0" applyFont="1" applyFill="1" applyBorder="1" applyAlignment="1">
      <alignment horizontal="center" vertical="center"/>
    </xf>
    <xf numFmtId="2" fontId="48" fillId="28" borderId="15" xfId="0" applyNumberFormat="1" applyFont="1" applyFill="1" applyBorder="1" applyAlignment="1">
      <alignment horizontal="center" vertical="center"/>
    </xf>
    <xf numFmtId="172" fontId="41" fillId="28" borderId="15" xfId="0" applyNumberFormat="1" applyFont="1" applyFill="1" applyBorder="1" applyAlignment="1">
      <alignment horizontal="center" vertical="center"/>
    </xf>
    <xf numFmtId="172" fontId="48" fillId="29" borderId="15" xfId="0" applyNumberFormat="1" applyFont="1" applyFill="1" applyBorder="1" applyAlignment="1">
      <alignment horizontal="center" vertical="center"/>
    </xf>
    <xf numFmtId="2" fontId="48" fillId="29" borderId="15" xfId="0" applyNumberFormat="1" applyFont="1" applyFill="1" applyBorder="1" applyAlignment="1">
      <alignment horizontal="center" vertical="center"/>
    </xf>
    <xf numFmtId="172" fontId="48" fillId="30" borderId="15" xfId="0" applyNumberFormat="1" applyFont="1" applyFill="1" applyBorder="1" applyAlignment="1">
      <alignment horizontal="center" vertical="center"/>
    </xf>
    <xf numFmtId="172" fontId="48" fillId="28" borderId="15" xfId="0" applyNumberFormat="1" applyFont="1" applyFill="1" applyBorder="1" applyAlignment="1">
      <alignment horizontal="center" vertical="center"/>
    </xf>
    <xf numFmtId="0" fontId="48" fillId="29" borderId="78" xfId="0" applyFont="1" applyFill="1" applyBorder="1" applyAlignment="1">
      <alignment horizontal="center" vertical="center"/>
    </xf>
    <xf numFmtId="0" fontId="48" fillId="29" borderId="74" xfId="0" applyFont="1" applyFill="1" applyBorder="1" applyAlignment="1">
      <alignment horizontal="center" vertical="center"/>
    </xf>
    <xf numFmtId="0" fontId="48" fillId="28" borderId="81" xfId="0" applyFont="1" applyFill="1" applyBorder="1" applyAlignment="1">
      <alignment horizontal="center" vertical="center"/>
    </xf>
    <xf numFmtId="172" fontId="41" fillId="30" borderId="26" xfId="0" applyNumberFormat="1" applyFont="1" applyFill="1" applyBorder="1" applyAlignment="1">
      <alignment horizontal="center" vertical="center"/>
    </xf>
    <xf numFmtId="0" fontId="48" fillId="28" borderId="26" xfId="0" applyFont="1" applyFill="1" applyBorder="1" applyAlignment="1">
      <alignment horizontal="center" vertical="center"/>
    </xf>
    <xf numFmtId="0" fontId="41" fillId="30" borderId="26" xfId="0" applyFont="1" applyFill="1" applyBorder="1" applyAlignment="1">
      <alignment horizontal="center" vertical="center"/>
    </xf>
    <xf numFmtId="0" fontId="48" fillId="28" borderId="48" xfId="0" applyFont="1" applyFill="1" applyBorder="1" applyAlignment="1">
      <alignment horizontal="center" vertical="center"/>
    </xf>
    <xf numFmtId="0" fontId="48" fillId="30" borderId="26" xfId="0" applyFont="1" applyFill="1" applyBorder="1" applyAlignment="1">
      <alignment horizontal="center" vertical="center"/>
    </xf>
    <xf numFmtId="0" fontId="48" fillId="30" borderId="29" xfId="0" applyFont="1" applyFill="1" applyBorder="1" applyAlignment="1">
      <alignment horizontal="center" vertical="center"/>
    </xf>
    <xf numFmtId="0" fontId="48" fillId="30" borderId="58" xfId="0" applyFont="1" applyFill="1" applyBorder="1" applyAlignment="1">
      <alignment horizontal="center" vertical="center"/>
    </xf>
    <xf numFmtId="0" fontId="48" fillId="28" borderId="68" xfId="0" applyFont="1" applyFill="1" applyBorder="1" applyAlignment="1">
      <alignment horizontal="center" vertical="center"/>
    </xf>
    <xf numFmtId="0" fontId="41" fillId="28" borderId="58" xfId="0" applyFont="1" applyFill="1" applyBorder="1" applyAlignment="1">
      <alignment horizontal="center" vertical="center"/>
    </xf>
    <xf numFmtId="0" fontId="48" fillId="28" borderId="58" xfId="0" applyFont="1" applyFill="1" applyBorder="1" applyAlignment="1">
      <alignment horizontal="center" vertical="center"/>
    </xf>
    <xf numFmtId="0" fontId="48" fillId="28" borderId="71" xfId="0" applyFont="1" applyFill="1" applyBorder="1" applyAlignment="1">
      <alignment horizontal="center" vertical="center"/>
    </xf>
    <xf numFmtId="0" fontId="48" fillId="30" borderId="71" xfId="0" applyFont="1" applyFill="1" applyBorder="1" applyAlignment="1">
      <alignment horizontal="center" vertical="center"/>
    </xf>
    <xf numFmtId="0" fontId="48" fillId="28" borderId="22" xfId="0" applyFont="1" applyFill="1" applyBorder="1" applyAlignment="1">
      <alignment horizontal="center" vertical="center"/>
    </xf>
    <xf numFmtId="2" fontId="41" fillId="28" borderId="15" xfId="0" applyNumberFormat="1" applyFont="1" applyFill="1" applyBorder="1" applyAlignment="1">
      <alignment horizontal="center" vertical="center"/>
    </xf>
    <xf numFmtId="2" fontId="41" fillId="29" borderId="15" xfId="0" applyNumberFormat="1" applyFont="1" applyFill="1" applyBorder="1" applyAlignment="1">
      <alignment horizontal="center" vertical="center"/>
    </xf>
    <xf numFmtId="172" fontId="10" fillId="28" borderId="37" xfId="0" applyNumberFormat="1" applyFont="1" applyFill="1" applyBorder="1" applyAlignment="1">
      <alignment horizontal="center" vertical="center"/>
    </xf>
    <xf numFmtId="0" fontId="10" fillId="28" borderId="38" xfId="0" applyFont="1" applyFill="1" applyBorder="1" applyAlignment="1">
      <alignment horizontal="center" vertical="center"/>
    </xf>
    <xf numFmtId="0" fontId="10" fillId="28" borderId="22" xfId="0" applyFont="1" applyFill="1" applyBorder="1" applyAlignment="1">
      <alignment horizontal="center" vertical="center"/>
    </xf>
    <xf numFmtId="0" fontId="10" fillId="30" borderId="26" xfId="0" applyFont="1" applyFill="1" applyBorder="1" applyAlignment="1">
      <alignment horizontal="center" vertical="center"/>
    </xf>
    <xf numFmtId="0" fontId="10" fillId="28" borderId="26" xfId="0" applyFont="1" applyFill="1" applyBorder="1" applyAlignment="1">
      <alignment horizontal="center" vertical="center"/>
    </xf>
    <xf numFmtId="0" fontId="10" fillId="28" borderId="44" xfId="0" applyFont="1" applyFill="1" applyBorder="1" applyAlignment="1">
      <alignment horizontal="center" vertical="center"/>
    </xf>
    <xf numFmtId="0" fontId="10" fillId="28" borderId="29" xfId="0" applyFont="1" applyFill="1" applyBorder="1" applyAlignment="1">
      <alignment horizontal="center" vertical="center"/>
    </xf>
    <xf numFmtId="0" fontId="10" fillId="30" borderId="29" xfId="0" applyFont="1" applyFill="1" applyBorder="1" applyAlignment="1">
      <alignment horizontal="center" vertical="center"/>
    </xf>
    <xf numFmtId="172" fontId="10" fillId="30" borderId="36" xfId="0" applyNumberFormat="1" applyFont="1" applyFill="1" applyBorder="1" applyAlignment="1">
      <alignment horizontal="center" vertical="center"/>
    </xf>
    <xf numFmtId="172" fontId="10" fillId="28" borderId="36" xfId="0" applyNumberFormat="1" applyFont="1" applyFill="1" applyBorder="1" applyAlignment="1">
      <alignment horizontal="center" vertical="center"/>
    </xf>
    <xf numFmtId="2" fontId="10" fillId="30" borderId="25" xfId="0" applyNumberFormat="1" applyFont="1" applyFill="1" applyBorder="1" applyAlignment="1">
      <alignment horizontal="center" vertical="center"/>
    </xf>
    <xf numFmtId="2" fontId="10" fillId="28" borderId="26" xfId="0" applyNumberFormat="1" applyFont="1" applyFill="1" applyBorder="1" applyAlignment="1">
      <alignment horizontal="center" vertical="center"/>
    </xf>
    <xf numFmtId="2" fontId="10" fillId="30" borderId="26" xfId="0" applyNumberFormat="1" applyFont="1" applyFill="1" applyBorder="1" applyAlignment="1">
      <alignment horizontal="center" vertical="center"/>
    </xf>
    <xf numFmtId="2" fontId="10" fillId="28" borderId="37" xfId="0" applyNumberFormat="1" applyFont="1" applyFill="1" applyBorder="1" applyAlignment="1">
      <alignment horizontal="center" vertical="center"/>
    </xf>
    <xf numFmtId="172" fontId="10" fillId="28" borderId="54" xfId="0" applyNumberFormat="1" applyFont="1" applyFill="1" applyBorder="1" applyAlignment="1">
      <alignment horizontal="center" vertical="center"/>
    </xf>
    <xf numFmtId="2" fontId="10" fillId="30" borderId="13" xfId="0" applyNumberFormat="1" applyFont="1" applyFill="1" applyBorder="1" applyAlignment="1">
      <alignment horizontal="center" vertical="center"/>
    </xf>
    <xf numFmtId="0" fontId="24" fillId="24" borderId="20" xfId="0" applyFont="1" applyFill="1" applyBorder="1" applyAlignment="1">
      <alignment vertical="center"/>
    </xf>
    <xf numFmtId="0" fontId="24" fillId="24" borderId="0" xfId="0" applyFont="1" applyFill="1" applyBorder="1" applyAlignment="1">
      <alignment vertical="center"/>
    </xf>
    <xf numFmtId="0" fontId="56" fillId="29" borderId="0" xfId="0" applyFont="1" applyFill="1" applyAlignment="1">
      <alignment/>
    </xf>
    <xf numFmtId="14" fontId="56" fillId="29" borderId="0" xfId="0" applyNumberFormat="1" applyFont="1" applyFill="1" applyAlignment="1">
      <alignment/>
    </xf>
    <xf numFmtId="0" fontId="20" fillId="30" borderId="15" xfId="0" applyFont="1" applyFill="1" applyBorder="1" applyAlignment="1">
      <alignment horizontal="center" vertical="center" wrapText="1"/>
    </xf>
    <xf numFmtId="0" fontId="20" fillId="28" borderId="15" xfId="0" applyFont="1" applyFill="1" applyBorder="1" applyAlignment="1">
      <alignment horizontal="center" vertical="center" wrapText="1"/>
    </xf>
    <xf numFmtId="0" fontId="20" fillId="29" borderId="15" xfId="0" applyFont="1" applyFill="1" applyBorder="1" applyAlignment="1">
      <alignment horizontal="center" vertical="center" wrapText="1"/>
    </xf>
    <xf numFmtId="0" fontId="19" fillId="0" borderId="57" xfId="0" applyFont="1" applyFill="1" applyBorder="1" applyAlignment="1">
      <alignment horizontal="center" vertical="center" wrapText="1"/>
    </xf>
    <xf numFmtId="0" fontId="20" fillId="30" borderId="97" xfId="0" applyFont="1" applyFill="1" applyBorder="1" applyAlignment="1">
      <alignment horizontal="center" vertical="center" wrapText="1"/>
    </xf>
    <xf numFmtId="0" fontId="20" fillId="30" borderId="35" xfId="0" applyFont="1" applyFill="1" applyBorder="1" applyAlignment="1">
      <alignment horizontal="center" vertical="center" wrapText="1"/>
    </xf>
    <xf numFmtId="0" fontId="20" fillId="29" borderId="34" xfId="0" applyFont="1" applyFill="1" applyBorder="1" applyAlignment="1">
      <alignment horizontal="center" vertical="center" wrapText="1"/>
    </xf>
    <xf numFmtId="0" fontId="20" fillId="29" borderId="35" xfId="0" applyFont="1" applyFill="1" applyBorder="1" applyAlignment="1">
      <alignment horizontal="center" vertical="center" wrapText="1"/>
    </xf>
    <xf numFmtId="0" fontId="20" fillId="29" borderId="20" xfId="0" applyFont="1" applyFill="1" applyBorder="1" applyAlignment="1">
      <alignment horizontal="center" vertical="center" wrapText="1"/>
    </xf>
    <xf numFmtId="0" fontId="20" fillId="29" borderId="17" xfId="0" applyFont="1" applyFill="1" applyBorder="1" applyAlignment="1">
      <alignment horizontal="center" vertical="center" wrapText="1"/>
    </xf>
    <xf numFmtId="0" fontId="20" fillId="30" borderId="18" xfId="0" applyFont="1" applyFill="1" applyBorder="1" applyAlignment="1">
      <alignment horizontal="center" vertical="center" wrapText="1"/>
    </xf>
    <xf numFmtId="0" fontId="20" fillId="28" borderId="20" xfId="0" applyFont="1" applyFill="1" applyBorder="1" applyAlignment="1">
      <alignment horizontal="center" vertical="center" wrapText="1"/>
    </xf>
    <xf numFmtId="0" fontId="20" fillId="28" borderId="17" xfId="0" applyFont="1" applyFill="1" applyBorder="1" applyAlignment="1">
      <alignment horizontal="center" vertical="center" wrapText="1"/>
    </xf>
    <xf numFmtId="0" fontId="20" fillId="28" borderId="40" xfId="0" applyFont="1" applyFill="1" applyBorder="1" applyAlignment="1">
      <alignment horizontal="center" vertical="center" wrapText="1"/>
    </xf>
    <xf numFmtId="0" fontId="20" fillId="28" borderId="41" xfId="0" applyFont="1" applyFill="1" applyBorder="1" applyAlignment="1">
      <alignment horizontal="center" vertical="center" wrapText="1"/>
    </xf>
    <xf numFmtId="0" fontId="20" fillId="29" borderId="18" xfId="0" applyFont="1" applyFill="1" applyBorder="1" applyAlignment="1">
      <alignment horizontal="center" vertical="center" wrapText="1"/>
    </xf>
    <xf numFmtId="0" fontId="20" fillId="30" borderId="20" xfId="0" applyFont="1" applyFill="1" applyBorder="1" applyAlignment="1">
      <alignment horizontal="center" vertical="center" wrapText="1"/>
    </xf>
    <xf numFmtId="0" fontId="20" fillId="30" borderId="17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 wrapText="1"/>
    </xf>
    <xf numFmtId="2" fontId="10" fillId="30" borderId="15" xfId="0" applyNumberFormat="1" applyFont="1" applyFill="1" applyBorder="1" applyAlignment="1">
      <alignment horizontal="center" vertical="center"/>
    </xf>
    <xf numFmtId="2" fontId="20" fillId="30" borderId="15" xfId="0" applyNumberFormat="1" applyFont="1" applyFill="1" applyBorder="1" applyAlignment="1">
      <alignment horizontal="center" vertical="center" wrapText="1"/>
    </xf>
    <xf numFmtId="4" fontId="20" fillId="29" borderId="34" xfId="0" applyNumberFormat="1" applyFont="1" applyFill="1" applyBorder="1" applyAlignment="1">
      <alignment horizontal="center" vertical="center" wrapText="1"/>
    </xf>
    <xf numFmtId="4" fontId="20" fillId="30" borderId="97" xfId="0" applyNumberFormat="1" applyFont="1" applyFill="1" applyBorder="1" applyAlignment="1">
      <alignment horizontal="center" vertical="center" wrapText="1"/>
    </xf>
    <xf numFmtId="2" fontId="20" fillId="30" borderId="97" xfId="0" applyNumberFormat="1" applyFont="1" applyFill="1" applyBorder="1" applyAlignment="1">
      <alignment horizontal="center" vertical="center" wrapText="1"/>
    </xf>
    <xf numFmtId="173" fontId="20" fillId="30" borderId="18" xfId="0" applyNumberFormat="1" applyFont="1" applyFill="1" applyBorder="1" applyAlignment="1">
      <alignment horizontal="center" vertical="center" wrapText="1"/>
    </xf>
    <xf numFmtId="2" fontId="20" fillId="30" borderId="18" xfId="0" applyNumberFormat="1" applyFont="1" applyFill="1" applyBorder="1" applyAlignment="1">
      <alignment horizontal="center" vertical="center" wrapText="1"/>
    </xf>
    <xf numFmtId="4" fontId="20" fillId="30" borderId="18" xfId="0" applyNumberFormat="1" applyFont="1" applyFill="1" applyBorder="1" applyAlignment="1">
      <alignment horizontal="center" vertical="center" wrapText="1"/>
    </xf>
    <xf numFmtId="4" fontId="10" fillId="25" borderId="59" xfId="0" applyNumberFormat="1" applyFont="1" applyFill="1" applyBorder="1" applyAlignment="1">
      <alignment horizontal="center" vertical="center"/>
    </xf>
    <xf numFmtId="2" fontId="20" fillId="28" borderId="20" xfId="0" applyNumberFormat="1" applyFont="1" applyFill="1" applyBorder="1" applyAlignment="1">
      <alignment horizontal="center" vertical="center" wrapText="1"/>
    </xf>
    <xf numFmtId="2" fontId="20" fillId="28" borderId="17" xfId="0" applyNumberFormat="1" applyFont="1" applyFill="1" applyBorder="1" applyAlignment="1">
      <alignment horizontal="center" vertical="center" wrapText="1"/>
    </xf>
    <xf numFmtId="1" fontId="10" fillId="24" borderId="33" xfId="0" applyNumberFormat="1" applyFont="1" applyFill="1" applyBorder="1" applyAlignment="1">
      <alignment horizontal="center" vertical="center"/>
    </xf>
    <xf numFmtId="1" fontId="10" fillId="25" borderId="27" xfId="0" applyNumberFormat="1" applyFont="1" applyFill="1" applyBorder="1" applyAlignment="1">
      <alignment horizontal="center" vertical="center"/>
    </xf>
    <xf numFmtId="1" fontId="10" fillId="24" borderId="57" xfId="0" applyNumberFormat="1" applyFont="1" applyFill="1" applyBorder="1" applyAlignment="1">
      <alignment horizontal="center" vertical="center"/>
    </xf>
    <xf numFmtId="2" fontId="20" fillId="29" borderId="34" xfId="0" applyNumberFormat="1" applyFont="1" applyFill="1" applyBorder="1" applyAlignment="1">
      <alignment horizontal="center" vertical="center" wrapText="1"/>
    </xf>
    <xf numFmtId="2" fontId="10" fillId="25" borderId="98" xfId="0" applyNumberFormat="1" applyFont="1" applyFill="1" applyBorder="1" applyAlignment="1">
      <alignment horizontal="center" vertical="center"/>
    </xf>
    <xf numFmtId="2" fontId="10" fillId="24" borderId="50" xfId="0" applyNumberFormat="1" applyFont="1" applyFill="1" applyBorder="1" applyAlignment="1">
      <alignment horizontal="center" vertical="center"/>
    </xf>
    <xf numFmtId="2" fontId="10" fillId="24" borderId="99" xfId="0" applyNumberFormat="1" applyFont="1" applyFill="1" applyBorder="1" applyAlignment="1">
      <alignment horizontal="center" vertical="center"/>
    </xf>
    <xf numFmtId="0" fontId="10" fillId="24" borderId="70" xfId="0" applyFont="1" applyFill="1" applyBorder="1" applyAlignment="1">
      <alignment horizontal="center" vertical="center"/>
    </xf>
    <xf numFmtId="2" fontId="10" fillId="25" borderId="51" xfId="0" applyNumberFormat="1" applyFont="1" applyFill="1" applyBorder="1" applyAlignment="1">
      <alignment horizontal="center" vertical="center"/>
    </xf>
    <xf numFmtId="0" fontId="10" fillId="25" borderId="28" xfId="0" applyFont="1" applyFill="1" applyBorder="1" applyAlignment="1">
      <alignment horizontal="center" vertical="center"/>
    </xf>
    <xf numFmtId="2" fontId="20" fillId="28" borderId="40" xfId="0" applyNumberFormat="1" applyFont="1" applyFill="1" applyBorder="1" applyAlignment="1">
      <alignment horizontal="center" vertical="center" wrapText="1"/>
    </xf>
    <xf numFmtId="2" fontId="10" fillId="0" borderId="17" xfId="0" applyNumberFormat="1" applyFont="1" applyFill="1" applyBorder="1" applyAlignment="1">
      <alignment horizontal="center" vertical="center"/>
    </xf>
    <xf numFmtId="2" fontId="10" fillId="25" borderId="100" xfId="0" applyNumberFormat="1" applyFont="1" applyFill="1" applyBorder="1" applyAlignment="1">
      <alignment horizontal="center" vertical="center"/>
    </xf>
    <xf numFmtId="172" fontId="10" fillId="24" borderId="39" xfId="0" applyNumberFormat="1" applyFont="1" applyFill="1" applyBorder="1" applyAlignment="1">
      <alignment horizontal="center" vertical="center"/>
    </xf>
    <xf numFmtId="2" fontId="20" fillId="29" borderId="20" xfId="0" applyNumberFormat="1" applyFont="1" applyFill="1" applyBorder="1" applyAlignment="1">
      <alignment horizontal="center" vertical="center" wrapText="1"/>
    </xf>
    <xf numFmtId="4" fontId="20" fillId="29" borderId="35" xfId="0" applyNumberFormat="1" applyFont="1" applyFill="1" applyBorder="1" applyAlignment="1">
      <alignment horizontal="center" vertical="center" wrapText="1"/>
    </xf>
    <xf numFmtId="4" fontId="20" fillId="28" borderId="20" xfId="0" applyNumberFormat="1" applyFont="1" applyFill="1" applyBorder="1" applyAlignment="1">
      <alignment horizontal="center" vertical="center" wrapText="1"/>
    </xf>
    <xf numFmtId="4" fontId="20" fillId="28" borderId="17" xfId="0" applyNumberFormat="1" applyFont="1" applyFill="1" applyBorder="1" applyAlignment="1">
      <alignment horizontal="center" vertical="center" wrapText="1"/>
    </xf>
    <xf numFmtId="4" fontId="20" fillId="30" borderId="15" xfId="0" applyNumberFormat="1" applyFont="1" applyFill="1" applyBorder="1" applyAlignment="1">
      <alignment horizontal="center" vertical="center" wrapText="1"/>
    </xf>
    <xf numFmtId="4" fontId="10" fillId="25" borderId="16" xfId="0" applyNumberFormat="1" applyFont="1" applyFill="1" applyBorder="1" applyAlignment="1">
      <alignment horizontal="center" vertical="center"/>
    </xf>
    <xf numFmtId="2" fontId="20" fillId="29" borderId="35" xfId="0" applyNumberFormat="1" applyFont="1" applyFill="1" applyBorder="1" applyAlignment="1">
      <alignment horizontal="center" vertical="center" wrapText="1"/>
    </xf>
    <xf numFmtId="2" fontId="20" fillId="29" borderId="17" xfId="0" applyNumberFormat="1" applyFont="1" applyFill="1" applyBorder="1" applyAlignment="1">
      <alignment horizontal="center" vertical="center" wrapText="1"/>
    </xf>
    <xf numFmtId="4" fontId="10" fillId="6" borderId="25" xfId="0" applyNumberFormat="1" applyFont="1" applyFill="1" applyBorder="1" applyAlignment="1">
      <alignment horizontal="center" vertical="center"/>
    </xf>
    <xf numFmtId="2" fontId="20" fillId="30" borderId="46" xfId="0" applyNumberFormat="1" applyFont="1" applyFill="1" applyBorder="1" applyAlignment="1">
      <alignment horizontal="center" vertical="center" wrapText="1"/>
    </xf>
    <xf numFmtId="0" fontId="20" fillId="27" borderId="20" xfId="0" applyFont="1" applyFill="1" applyBorder="1" applyAlignment="1">
      <alignment horizontal="center" vertical="center" wrapText="1"/>
    </xf>
    <xf numFmtId="0" fontId="20" fillId="27" borderId="17" xfId="0" applyFont="1" applyFill="1" applyBorder="1" applyAlignment="1">
      <alignment horizontal="center" vertical="center" wrapText="1"/>
    </xf>
    <xf numFmtId="172" fontId="20" fillId="30" borderId="18" xfId="0" applyNumberFormat="1" applyFont="1" applyFill="1" applyBorder="1" applyAlignment="1">
      <alignment horizontal="center" vertical="center" wrapText="1"/>
    </xf>
    <xf numFmtId="172" fontId="20" fillId="28" borderId="17" xfId="0" applyNumberFormat="1" applyFont="1" applyFill="1" applyBorder="1" applyAlignment="1">
      <alignment horizontal="center" vertical="center" wrapText="1"/>
    </xf>
    <xf numFmtId="0" fontId="56" fillId="27" borderId="0" xfId="0" applyFont="1" applyFill="1" applyAlignment="1">
      <alignment/>
    </xf>
    <xf numFmtId="0" fontId="0" fillId="27" borderId="0" xfId="0" applyFill="1" applyAlignment="1">
      <alignment/>
    </xf>
    <xf numFmtId="172" fontId="20" fillId="29" borderId="34" xfId="0" applyNumberFormat="1" applyFont="1" applyFill="1" applyBorder="1" applyAlignment="1">
      <alignment horizontal="center" vertical="center" wrapText="1"/>
    </xf>
    <xf numFmtId="172" fontId="20" fillId="29" borderId="20" xfId="0" applyNumberFormat="1" applyFont="1" applyFill="1" applyBorder="1" applyAlignment="1">
      <alignment horizontal="center" vertical="center" wrapText="1"/>
    </xf>
    <xf numFmtId="172" fontId="20" fillId="29" borderId="17" xfId="0" applyNumberFormat="1" applyFont="1" applyFill="1" applyBorder="1" applyAlignment="1">
      <alignment horizontal="center" vertical="center" wrapText="1"/>
    </xf>
    <xf numFmtId="172" fontId="20" fillId="28" borderId="20" xfId="0" applyNumberFormat="1" applyFont="1" applyFill="1" applyBorder="1" applyAlignment="1">
      <alignment horizontal="center" vertical="center" wrapText="1"/>
    </xf>
    <xf numFmtId="172" fontId="20" fillId="30" borderId="15" xfId="0" applyNumberFormat="1" applyFont="1" applyFill="1" applyBorder="1" applyAlignment="1">
      <alignment horizontal="center" vertical="center" wrapText="1"/>
    </xf>
    <xf numFmtId="172" fontId="20" fillId="28" borderId="40" xfId="0" applyNumberFormat="1" applyFont="1" applyFill="1" applyBorder="1" applyAlignment="1">
      <alignment horizontal="center" vertical="center" wrapText="1"/>
    </xf>
    <xf numFmtId="172" fontId="20" fillId="28" borderId="41" xfId="0" applyNumberFormat="1" applyFont="1" applyFill="1" applyBorder="1" applyAlignment="1">
      <alignment horizontal="center" vertical="center" wrapText="1"/>
    </xf>
    <xf numFmtId="172" fontId="20" fillId="29" borderId="15" xfId="0" applyNumberFormat="1" applyFont="1" applyFill="1" applyBorder="1" applyAlignment="1">
      <alignment horizontal="center" vertical="center" wrapText="1"/>
    </xf>
    <xf numFmtId="172" fontId="20" fillId="29" borderId="18" xfId="0" applyNumberFormat="1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 wrapText="1"/>
    </xf>
    <xf numFmtId="172" fontId="10" fillId="25" borderId="15" xfId="0" applyNumberFormat="1" applyFont="1" applyFill="1" applyBorder="1" applyAlignment="1">
      <alignment horizontal="center" vertical="center"/>
    </xf>
    <xf numFmtId="175" fontId="10" fillId="24" borderId="15" xfId="0" applyNumberFormat="1" applyFont="1" applyFill="1" applyBorder="1" applyAlignment="1">
      <alignment horizontal="center" vertical="center"/>
    </xf>
    <xf numFmtId="172" fontId="10" fillId="6" borderId="15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/>
    </xf>
    <xf numFmtId="0" fontId="0" fillId="0" borderId="0" xfId="0" applyFill="1" applyAlignment="1">
      <alignment/>
    </xf>
    <xf numFmtId="172" fontId="20" fillId="0" borderId="34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172" fontId="20" fillId="0" borderId="20" xfId="0" applyNumberFormat="1" applyFont="1" applyFill="1" applyBorder="1" applyAlignment="1">
      <alignment horizontal="center" vertical="center" wrapText="1"/>
    </xf>
    <xf numFmtId="172" fontId="20" fillId="0" borderId="17" xfId="0" applyNumberFormat="1" applyFont="1" applyFill="1" applyBorder="1" applyAlignment="1">
      <alignment horizontal="center" vertical="center" wrapText="1"/>
    </xf>
    <xf numFmtId="172" fontId="20" fillId="0" borderId="18" xfId="0" applyNumberFormat="1" applyFont="1" applyFill="1" applyBorder="1" applyAlignment="1">
      <alignment horizontal="center" vertical="center" wrapText="1"/>
    </xf>
    <xf numFmtId="172" fontId="20" fillId="0" borderId="15" xfId="0" applyNumberFormat="1" applyFont="1" applyFill="1" applyBorder="1" applyAlignment="1">
      <alignment horizontal="center" vertical="center" wrapText="1"/>
    </xf>
    <xf numFmtId="0" fontId="22" fillId="31" borderId="15" xfId="0" applyFont="1" applyFill="1" applyBorder="1" applyAlignment="1">
      <alignment vertical="center" wrapText="1"/>
    </xf>
    <xf numFmtId="0" fontId="20" fillId="31" borderId="15" xfId="0" applyFont="1" applyFill="1" applyBorder="1" applyAlignment="1">
      <alignment horizontal="center" vertical="center" wrapText="1"/>
    </xf>
    <xf numFmtId="0" fontId="20" fillId="32" borderId="97" xfId="0" applyFont="1" applyFill="1" applyBorder="1" applyAlignment="1">
      <alignment horizontal="center" vertical="center" wrapText="1"/>
    </xf>
    <xf numFmtId="0" fontId="20" fillId="32" borderId="35" xfId="0" applyFont="1" applyFill="1" applyBorder="1" applyAlignment="1">
      <alignment horizontal="center" vertical="center" wrapText="1"/>
    </xf>
    <xf numFmtId="0" fontId="20" fillId="32" borderId="18" xfId="0" applyFont="1" applyFill="1" applyBorder="1" applyAlignment="1">
      <alignment horizontal="center" vertical="center" wrapText="1"/>
    </xf>
    <xf numFmtId="0" fontId="20" fillId="32" borderId="15" xfId="0" applyFont="1" applyFill="1" applyBorder="1" applyAlignment="1">
      <alignment horizontal="center" vertical="center" wrapText="1"/>
    </xf>
    <xf numFmtId="172" fontId="20" fillId="32" borderId="18" xfId="0" applyNumberFormat="1" applyFont="1" applyFill="1" applyBorder="1" applyAlignment="1">
      <alignment horizontal="center" vertical="center" wrapText="1"/>
    </xf>
    <xf numFmtId="172" fontId="20" fillId="32" borderId="40" xfId="0" applyNumberFormat="1" applyFont="1" applyFill="1" applyBorder="1" applyAlignment="1">
      <alignment horizontal="center" vertical="center" wrapText="1"/>
    </xf>
    <xf numFmtId="172" fontId="20" fillId="32" borderId="41" xfId="0" applyNumberFormat="1" applyFont="1" applyFill="1" applyBorder="1" applyAlignment="1">
      <alignment horizontal="center" vertical="center" wrapText="1"/>
    </xf>
    <xf numFmtId="0" fontId="20" fillId="32" borderId="20" xfId="0" applyFont="1" applyFill="1" applyBorder="1" applyAlignment="1">
      <alignment horizontal="center" vertical="center" wrapText="1"/>
    </xf>
    <xf numFmtId="172" fontId="20" fillId="32" borderId="17" xfId="0" applyNumberFormat="1" applyFont="1" applyFill="1" applyBorder="1" applyAlignment="1">
      <alignment horizontal="center" vertical="center" wrapText="1"/>
    </xf>
    <xf numFmtId="172" fontId="20" fillId="32" borderId="20" xfId="0" applyNumberFormat="1" applyFont="1" applyFill="1" applyBorder="1" applyAlignment="1">
      <alignment horizontal="center" vertical="center" wrapText="1"/>
    </xf>
    <xf numFmtId="172" fontId="20" fillId="32" borderId="15" xfId="0" applyNumberFormat="1" applyFont="1" applyFill="1" applyBorder="1" applyAlignment="1">
      <alignment horizontal="center" vertical="center" wrapText="1"/>
    </xf>
    <xf numFmtId="0" fontId="20" fillId="32" borderId="40" xfId="0" applyFont="1" applyFill="1" applyBorder="1" applyAlignment="1">
      <alignment horizontal="center" vertical="center" wrapText="1"/>
    </xf>
    <xf numFmtId="0" fontId="10" fillId="31" borderId="15" xfId="0" applyFont="1" applyFill="1" applyBorder="1" applyAlignment="1">
      <alignment horizontal="center" vertical="center"/>
    </xf>
    <xf numFmtId="172" fontId="10" fillId="31" borderId="15" xfId="0" applyNumberFormat="1" applyFont="1" applyFill="1" applyBorder="1" applyAlignment="1">
      <alignment horizontal="center" vertical="center"/>
    </xf>
    <xf numFmtId="0" fontId="25" fillId="31" borderId="15" xfId="0" applyFont="1" applyFill="1" applyBorder="1" applyAlignment="1">
      <alignment horizontal="center" vertical="center" wrapText="1"/>
    </xf>
    <xf numFmtId="4" fontId="20" fillId="31" borderId="97" xfId="0" applyNumberFormat="1" applyFont="1" applyFill="1" applyBorder="1" applyAlignment="1">
      <alignment horizontal="center" vertical="center" wrapText="1"/>
    </xf>
    <xf numFmtId="0" fontId="30" fillId="31" borderId="15" xfId="0" applyFont="1" applyFill="1" applyBorder="1" applyAlignment="1">
      <alignment horizontal="center" vertical="center" wrapText="1"/>
    </xf>
    <xf numFmtId="4" fontId="20" fillId="0" borderId="97" xfId="0" applyNumberFormat="1" applyFont="1" applyFill="1" applyBorder="1" applyAlignment="1">
      <alignment horizontal="center" vertical="center" wrapText="1"/>
    </xf>
    <xf numFmtId="4" fontId="20" fillId="32" borderId="97" xfId="0" applyNumberFormat="1" applyFont="1" applyFill="1" applyBorder="1" applyAlignment="1">
      <alignment horizontal="center" vertical="center" wrapText="1"/>
    </xf>
    <xf numFmtId="4" fontId="20" fillId="29" borderId="97" xfId="0" applyNumberFormat="1" applyFont="1" applyFill="1" applyBorder="1" applyAlignment="1">
      <alignment horizontal="center" vertical="center" wrapText="1"/>
    </xf>
    <xf numFmtId="172" fontId="20" fillId="30" borderId="35" xfId="0" applyNumberFormat="1" applyFont="1" applyFill="1" applyBorder="1" applyAlignment="1">
      <alignment horizontal="center" vertical="center" wrapText="1"/>
    </xf>
    <xf numFmtId="172" fontId="20" fillId="29" borderId="35" xfId="0" applyNumberFormat="1" applyFont="1" applyFill="1" applyBorder="1" applyAlignment="1">
      <alignment horizontal="center" vertical="center" wrapText="1"/>
    </xf>
    <xf numFmtId="172" fontId="20" fillId="29" borderId="101" xfId="0" applyNumberFormat="1" applyFont="1" applyFill="1" applyBorder="1" applyAlignment="1">
      <alignment horizontal="center" vertical="center" wrapText="1"/>
    </xf>
    <xf numFmtId="172" fontId="20" fillId="29" borderId="102" xfId="0" applyNumberFormat="1" applyFont="1" applyFill="1" applyBorder="1" applyAlignment="1">
      <alignment horizontal="center" vertical="center" wrapText="1"/>
    </xf>
    <xf numFmtId="2" fontId="41" fillId="25" borderId="103" xfId="0" applyNumberFormat="1" applyFont="1" applyFill="1" applyBorder="1" applyAlignment="1">
      <alignment horizontal="center" vertical="center"/>
    </xf>
    <xf numFmtId="172" fontId="21" fillId="29" borderId="19" xfId="0" applyNumberFormat="1" applyFont="1" applyFill="1" applyBorder="1" applyAlignment="1">
      <alignment horizontal="center" vertical="center" wrapText="1"/>
    </xf>
    <xf numFmtId="172" fontId="21" fillId="29" borderId="104" xfId="0" applyNumberFormat="1" applyFont="1" applyFill="1" applyBorder="1" applyAlignment="1">
      <alignment horizontal="center" vertical="center" wrapText="1"/>
    </xf>
    <xf numFmtId="172" fontId="20" fillId="29" borderId="54" xfId="0" applyNumberFormat="1" applyFont="1" applyFill="1" applyBorder="1" applyAlignment="1">
      <alignment horizontal="center" vertical="center" wrapText="1"/>
    </xf>
    <xf numFmtId="0" fontId="49" fillId="28" borderId="15" xfId="0" applyFont="1" applyFill="1" applyBorder="1" applyAlignment="1">
      <alignment horizontal="center" vertical="center"/>
    </xf>
    <xf numFmtId="0" fontId="41" fillId="30" borderId="15" xfId="0" applyFont="1" applyFill="1" applyBorder="1" applyAlignment="1">
      <alignment horizontal="center" vertical="center"/>
    </xf>
    <xf numFmtId="0" fontId="20" fillId="29" borderId="40" xfId="0" applyFont="1" applyFill="1" applyBorder="1" applyAlignment="1">
      <alignment horizontal="center" vertical="center" wrapText="1"/>
    </xf>
    <xf numFmtId="0" fontId="20" fillId="29" borderId="41" xfId="0" applyFont="1" applyFill="1" applyBorder="1" applyAlignment="1">
      <alignment horizontal="center" vertical="center" wrapText="1"/>
    </xf>
    <xf numFmtId="0" fontId="48" fillId="24" borderId="103" xfId="0" applyFont="1" applyFill="1" applyBorder="1" applyAlignment="1">
      <alignment horizontal="center" vertical="center"/>
    </xf>
    <xf numFmtId="0" fontId="48" fillId="0" borderId="103" xfId="0" applyFont="1" applyFill="1" applyBorder="1" applyAlignment="1">
      <alignment horizontal="center" vertical="center"/>
    </xf>
    <xf numFmtId="0" fontId="41" fillId="24" borderId="103" xfId="0" applyFont="1" applyFill="1" applyBorder="1" applyAlignment="1">
      <alignment horizontal="center" vertical="center"/>
    </xf>
    <xf numFmtId="0" fontId="20" fillId="29" borderId="97" xfId="0" applyFont="1" applyFill="1" applyBorder="1" applyAlignment="1">
      <alignment horizontal="center" vertical="center" wrapText="1"/>
    </xf>
    <xf numFmtId="172" fontId="41" fillId="0" borderId="15" xfId="0" applyNumberFormat="1" applyFont="1" applyFill="1" applyBorder="1" applyAlignment="1">
      <alignment horizontal="center"/>
    </xf>
    <xf numFmtId="0" fontId="41" fillId="29" borderId="15" xfId="0" applyFont="1" applyFill="1" applyBorder="1" applyAlignment="1">
      <alignment horizontal="center"/>
    </xf>
    <xf numFmtId="0" fontId="48" fillId="29" borderId="15" xfId="0" applyFont="1" applyFill="1" applyBorder="1" applyAlignment="1">
      <alignment horizontal="center"/>
    </xf>
    <xf numFmtId="0" fontId="41" fillId="29" borderId="15" xfId="0" applyFont="1" applyFill="1" applyBorder="1" applyAlignment="1">
      <alignment horizontal="center" vertical="center"/>
    </xf>
    <xf numFmtId="180" fontId="41" fillId="29" borderId="15" xfId="33" applyNumberFormat="1" applyFont="1" applyFill="1" applyBorder="1" applyAlignment="1">
      <alignment horizontal="center" vertical="center" wrapText="1"/>
      <protection/>
    </xf>
    <xf numFmtId="172" fontId="41" fillId="6" borderId="15" xfId="0" applyNumberFormat="1" applyFont="1" applyFill="1" applyBorder="1" applyAlignment="1">
      <alignment horizontal="center" vertical="center"/>
    </xf>
    <xf numFmtId="43" fontId="41" fillId="25" borderId="103" xfId="0" applyNumberFormat="1" applyFont="1" applyFill="1" applyBorder="1" applyAlignment="1">
      <alignment horizontal="center" vertical="center"/>
    </xf>
    <xf numFmtId="2" fontId="20" fillId="29" borderId="15" xfId="0" applyNumberFormat="1" applyFont="1" applyFill="1" applyBorder="1" applyAlignment="1">
      <alignment horizontal="center" vertical="center" wrapText="1"/>
    </xf>
    <xf numFmtId="43" fontId="41" fillId="24" borderId="103" xfId="0" applyNumberFormat="1" applyFont="1" applyFill="1" applyBorder="1" applyAlignment="1">
      <alignment horizontal="center" vertical="center"/>
    </xf>
    <xf numFmtId="43" fontId="41" fillId="0" borderId="103" xfId="0" applyNumberFormat="1" applyFont="1" applyFill="1" applyBorder="1" applyAlignment="1">
      <alignment horizontal="center" vertical="center"/>
    </xf>
    <xf numFmtId="43" fontId="47" fillId="24" borderId="103" xfId="0" applyNumberFormat="1" applyFont="1" applyFill="1" applyBorder="1" applyAlignment="1">
      <alignment horizontal="center" vertical="center"/>
    </xf>
    <xf numFmtId="172" fontId="47" fillId="25" borderId="103" xfId="0" applyNumberFormat="1" applyFont="1" applyFill="1" applyBorder="1" applyAlignment="1">
      <alignment horizontal="center" vertical="center"/>
    </xf>
    <xf numFmtId="2" fontId="20" fillId="28" borderId="15" xfId="0" applyNumberFormat="1" applyFont="1" applyFill="1" applyBorder="1" applyAlignment="1">
      <alignment horizontal="center" vertical="center" wrapText="1"/>
    </xf>
    <xf numFmtId="0" fontId="47" fillId="24" borderId="103" xfId="0" applyFont="1" applyFill="1" applyBorder="1" applyAlignment="1">
      <alignment horizontal="center" vertical="center"/>
    </xf>
    <xf numFmtId="0" fontId="47" fillId="25" borderId="103" xfId="0" applyFont="1" applyFill="1" applyBorder="1" applyAlignment="1">
      <alignment horizontal="center" vertical="center"/>
    </xf>
    <xf numFmtId="2" fontId="23" fillId="29" borderId="15" xfId="0" applyNumberFormat="1" applyFont="1" applyFill="1" applyBorder="1" applyAlignment="1">
      <alignment horizontal="center" vertical="center" wrapText="1"/>
    </xf>
    <xf numFmtId="0" fontId="47" fillId="6" borderId="103" xfId="0" applyFont="1" applyFill="1" applyBorder="1" applyAlignment="1">
      <alignment horizontal="center" vertical="center"/>
    </xf>
    <xf numFmtId="2" fontId="23" fillId="30" borderId="15" xfId="0" applyNumberFormat="1" applyFont="1" applyFill="1" applyBorder="1" applyAlignment="1">
      <alignment horizontal="center" vertical="center" wrapText="1"/>
    </xf>
    <xf numFmtId="0" fontId="24" fillId="30" borderId="97" xfId="0" applyFont="1" applyFill="1" applyBorder="1" applyAlignment="1">
      <alignment horizontal="center" vertical="center" wrapText="1"/>
    </xf>
    <xf numFmtId="0" fontId="24" fillId="30" borderId="35" xfId="0" applyFont="1" applyFill="1" applyBorder="1" applyAlignment="1">
      <alignment horizontal="center" vertical="center" wrapText="1"/>
    </xf>
    <xf numFmtId="0" fontId="24" fillId="29" borderId="34" xfId="0" applyFont="1" applyFill="1" applyBorder="1" applyAlignment="1">
      <alignment horizontal="center" vertical="center" wrapText="1"/>
    </xf>
    <xf numFmtId="0" fontId="24" fillId="29" borderId="35" xfId="0" applyFont="1" applyFill="1" applyBorder="1" applyAlignment="1">
      <alignment horizontal="center" vertical="center" wrapText="1"/>
    </xf>
    <xf numFmtId="0" fontId="24" fillId="29" borderId="20" xfId="0" applyFont="1" applyFill="1" applyBorder="1" applyAlignment="1">
      <alignment horizontal="center" vertical="center" wrapText="1"/>
    </xf>
    <xf numFmtId="0" fontId="24" fillId="29" borderId="17" xfId="0" applyFont="1" applyFill="1" applyBorder="1" applyAlignment="1">
      <alignment horizontal="center" vertical="center" wrapText="1"/>
    </xf>
    <xf numFmtId="0" fontId="24" fillId="30" borderId="18" xfId="0" applyFont="1" applyFill="1" applyBorder="1" applyAlignment="1">
      <alignment horizontal="center" vertical="center" wrapText="1"/>
    </xf>
    <xf numFmtId="0" fontId="24" fillId="30" borderId="15" xfId="0" applyFont="1" applyFill="1" applyBorder="1" applyAlignment="1">
      <alignment horizontal="center" vertical="center" wrapText="1"/>
    </xf>
    <xf numFmtId="0" fontId="24" fillId="28" borderId="20" xfId="0" applyFont="1" applyFill="1" applyBorder="1" applyAlignment="1">
      <alignment horizontal="center" vertical="center" wrapText="1"/>
    </xf>
    <xf numFmtId="0" fontId="24" fillId="28" borderId="17" xfId="0" applyFont="1" applyFill="1" applyBorder="1" applyAlignment="1">
      <alignment horizontal="center" vertical="center" wrapText="1"/>
    </xf>
    <xf numFmtId="0" fontId="24" fillId="28" borderId="40" xfId="0" applyFont="1" applyFill="1" applyBorder="1" applyAlignment="1">
      <alignment horizontal="center" vertical="center" wrapText="1"/>
    </xf>
    <xf numFmtId="0" fontId="24" fillId="28" borderId="41" xfId="0" applyFont="1" applyFill="1" applyBorder="1" applyAlignment="1">
      <alignment horizontal="center" vertical="center" wrapText="1"/>
    </xf>
    <xf numFmtId="0" fontId="24" fillId="29" borderId="18" xfId="0" applyFont="1" applyFill="1" applyBorder="1" applyAlignment="1">
      <alignment horizontal="center" vertical="center" wrapText="1"/>
    </xf>
    <xf numFmtId="0" fontId="24" fillId="29" borderId="15" xfId="0" applyFont="1" applyFill="1" applyBorder="1" applyAlignment="1">
      <alignment horizontal="center" vertical="center" wrapText="1"/>
    </xf>
    <xf numFmtId="0" fontId="24" fillId="30" borderId="20" xfId="0" applyFont="1" applyFill="1" applyBorder="1" applyAlignment="1">
      <alignment horizontal="center" vertical="center" wrapText="1"/>
    </xf>
    <xf numFmtId="0" fontId="24" fillId="30" borderId="17" xfId="0" applyFont="1" applyFill="1" applyBorder="1" applyAlignment="1">
      <alignment horizontal="center" vertical="center" wrapText="1"/>
    </xf>
    <xf numFmtId="0" fontId="27" fillId="29" borderId="15" xfId="0" applyFont="1" applyFill="1" applyBorder="1" applyAlignment="1">
      <alignment horizontal="center" vertical="center" wrapText="1"/>
    </xf>
    <xf numFmtId="4" fontId="20" fillId="0" borderId="15" xfId="0" applyNumberFormat="1" applyFont="1" applyFill="1" applyBorder="1" applyAlignment="1">
      <alignment horizontal="center" vertical="center" wrapText="1"/>
    </xf>
    <xf numFmtId="4" fontId="20" fillId="32" borderId="15" xfId="0" applyNumberFormat="1" applyFont="1" applyFill="1" applyBorder="1" applyAlignment="1">
      <alignment horizontal="center" vertical="center" wrapText="1"/>
    </xf>
    <xf numFmtId="4" fontId="20" fillId="29" borderId="15" xfId="0" applyNumberFormat="1" applyFont="1" applyFill="1" applyBorder="1" applyAlignment="1">
      <alignment horizontal="center" vertical="center" wrapText="1"/>
    </xf>
    <xf numFmtId="2" fontId="41" fillId="28" borderId="42" xfId="0" applyNumberFormat="1" applyFont="1" applyFill="1" applyBorder="1" applyAlignment="1">
      <alignment horizontal="center" vertical="center"/>
    </xf>
    <xf numFmtId="2" fontId="48" fillId="0" borderId="47" xfId="0" applyNumberFormat="1" applyFont="1" applyFill="1" applyBorder="1" applyAlignment="1">
      <alignment horizontal="center" vertical="center"/>
    </xf>
    <xf numFmtId="1" fontId="48" fillId="0" borderId="78" xfId="0" applyNumberFormat="1" applyFont="1" applyFill="1" applyBorder="1" applyAlignment="1">
      <alignment horizontal="center" vertical="center"/>
    </xf>
    <xf numFmtId="2" fontId="48" fillId="29" borderId="92" xfId="0" applyNumberFormat="1" applyFont="1" applyFill="1" applyBorder="1" applyAlignment="1">
      <alignment horizontal="center" vertical="center"/>
    </xf>
    <xf numFmtId="2" fontId="41" fillId="24" borderId="28" xfId="0" applyNumberFormat="1" applyFont="1" applyFill="1" applyBorder="1" applyAlignment="1">
      <alignment horizontal="center" vertical="center"/>
    </xf>
    <xf numFmtId="172" fontId="41" fillId="6" borderId="51" xfId="0" applyNumberFormat="1" applyFont="1" applyFill="1" applyBorder="1" applyAlignment="1">
      <alignment horizontal="center" vertical="center"/>
    </xf>
    <xf numFmtId="172" fontId="41" fillId="6" borderId="28" xfId="0" applyNumberFormat="1" applyFont="1" applyFill="1" applyBorder="1" applyAlignment="1">
      <alignment horizontal="center" vertical="center"/>
    </xf>
    <xf numFmtId="172" fontId="41" fillId="24" borderId="12" xfId="0" applyNumberFormat="1" applyFont="1" applyFill="1" applyBorder="1" applyAlignment="1">
      <alignment horizontal="center" vertical="center"/>
    </xf>
    <xf numFmtId="172" fontId="41" fillId="24" borderId="32" xfId="0" applyNumberFormat="1" applyFont="1" applyFill="1" applyBorder="1" applyAlignment="1">
      <alignment horizontal="center" vertical="center"/>
    </xf>
    <xf numFmtId="172" fontId="48" fillId="24" borderId="12" xfId="0" applyNumberFormat="1" applyFont="1" applyFill="1" applyBorder="1" applyAlignment="1">
      <alignment horizontal="center" vertical="center"/>
    </xf>
    <xf numFmtId="2" fontId="48" fillId="24" borderId="32" xfId="0" applyNumberFormat="1" applyFont="1" applyFill="1" applyBorder="1" applyAlignment="1">
      <alignment horizontal="center" vertical="center"/>
    </xf>
    <xf numFmtId="2" fontId="41" fillId="0" borderId="103" xfId="0" applyNumberFormat="1" applyFont="1" applyFill="1" applyBorder="1" applyAlignment="1">
      <alignment horizontal="center" vertical="center"/>
    </xf>
    <xf numFmtId="172" fontId="10" fillId="29" borderId="15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/>
    </xf>
    <xf numFmtId="1" fontId="10" fillId="0" borderId="15" xfId="0" applyNumberFormat="1" applyFont="1" applyFill="1" applyBorder="1" applyAlignment="1">
      <alignment horizontal="center" vertical="center"/>
    </xf>
    <xf numFmtId="2" fontId="41" fillId="0" borderId="15" xfId="0" applyNumberFormat="1" applyFont="1" applyFill="1" applyBorder="1" applyAlignment="1">
      <alignment horizontal="right" vertical="center"/>
    </xf>
    <xf numFmtId="2" fontId="41" fillId="25" borderId="15" xfId="0" applyNumberFormat="1" applyFont="1" applyFill="1" applyBorder="1" applyAlignment="1">
      <alignment horizontal="right" vertical="center"/>
    </xf>
    <xf numFmtId="4" fontId="10" fillId="0" borderId="15" xfId="0" applyNumberFormat="1" applyFont="1" applyFill="1" applyBorder="1" applyAlignment="1">
      <alignment horizontal="center" vertical="center"/>
    </xf>
    <xf numFmtId="0" fontId="47" fillId="31" borderId="15" xfId="0" applyFont="1" applyFill="1" applyBorder="1" applyAlignment="1">
      <alignment vertical="center" wrapText="1"/>
    </xf>
    <xf numFmtId="0" fontId="47" fillId="31" borderId="15" xfId="0" applyFont="1" applyFill="1" applyBorder="1" applyAlignment="1">
      <alignment horizontal="center" vertical="center" wrapText="1"/>
    </xf>
    <xf numFmtId="0" fontId="47" fillId="25" borderId="15" xfId="0" applyFont="1" applyFill="1" applyBorder="1" applyAlignment="1">
      <alignment horizontal="center" vertical="center" wrapText="1"/>
    </xf>
    <xf numFmtId="0" fontId="47" fillId="32" borderId="15" xfId="0" applyFont="1" applyFill="1" applyBorder="1" applyAlignment="1">
      <alignment vertical="center" wrapText="1"/>
    </xf>
    <xf numFmtId="0" fontId="47" fillId="32" borderId="15" xfId="0" applyFont="1" applyFill="1" applyBorder="1" applyAlignment="1">
      <alignment horizontal="center" vertical="center" wrapText="1"/>
    </xf>
    <xf numFmtId="4" fontId="20" fillId="32" borderId="46" xfId="0" applyNumberFormat="1" applyFont="1" applyFill="1" applyBorder="1" applyAlignment="1">
      <alignment horizontal="center" vertical="center" wrapText="1"/>
    </xf>
    <xf numFmtId="4" fontId="20" fillId="0" borderId="46" xfId="0" applyNumberFormat="1" applyFont="1" applyFill="1" applyBorder="1" applyAlignment="1">
      <alignment horizontal="center" vertical="center" wrapText="1"/>
    </xf>
    <xf numFmtId="4" fontId="20" fillId="32" borderId="18" xfId="0" applyNumberFormat="1" applyFont="1" applyFill="1" applyBorder="1" applyAlignment="1">
      <alignment horizontal="center" vertical="center" wrapText="1"/>
    </xf>
    <xf numFmtId="2" fontId="20" fillId="0" borderId="97" xfId="0" applyNumberFormat="1" applyFont="1" applyFill="1" applyBorder="1" applyAlignment="1">
      <alignment horizontal="center" vertical="center" wrapText="1"/>
    </xf>
    <xf numFmtId="2" fontId="20" fillId="32" borderId="97" xfId="0" applyNumberFormat="1" applyFont="1" applyFill="1" applyBorder="1" applyAlignment="1">
      <alignment horizontal="center" vertical="center" wrapText="1"/>
    </xf>
    <xf numFmtId="2" fontId="20" fillId="32" borderId="46" xfId="0" applyNumberFormat="1" applyFont="1" applyFill="1" applyBorder="1" applyAlignment="1">
      <alignment horizontal="center" vertical="center" wrapText="1"/>
    </xf>
    <xf numFmtId="2" fontId="20" fillId="0" borderId="46" xfId="0" applyNumberFormat="1" applyFont="1" applyFill="1" applyBorder="1" applyAlignment="1">
      <alignment horizontal="center" vertical="center" wrapText="1"/>
    </xf>
    <xf numFmtId="2" fontId="20" fillId="0" borderId="18" xfId="0" applyNumberFormat="1" applyFont="1" applyFill="1" applyBorder="1" applyAlignment="1">
      <alignment horizontal="center" vertical="center" wrapText="1"/>
    </xf>
    <xf numFmtId="2" fontId="20" fillId="0" borderId="15" xfId="0" applyNumberFormat="1" applyFont="1" applyFill="1" applyBorder="1" applyAlignment="1">
      <alignment horizontal="center" vertical="center" wrapText="1"/>
    </xf>
    <xf numFmtId="4" fontId="24" fillId="30" borderId="35" xfId="0" applyNumberFormat="1" applyFont="1" applyFill="1" applyBorder="1" applyAlignment="1">
      <alignment horizontal="center" vertical="center" wrapText="1"/>
    </xf>
    <xf numFmtId="173" fontId="24" fillId="25" borderId="15" xfId="0" applyNumberFormat="1" applyFont="1" applyFill="1" applyBorder="1" applyAlignment="1">
      <alignment horizontal="center" vertical="center"/>
    </xf>
    <xf numFmtId="2" fontId="24" fillId="25" borderId="15" xfId="0" applyNumberFormat="1" applyFont="1" applyFill="1" applyBorder="1" applyAlignment="1">
      <alignment horizontal="center" vertical="center"/>
    </xf>
    <xf numFmtId="2" fontId="24" fillId="28" borderId="15" xfId="0" applyNumberFormat="1" applyFont="1" applyFill="1" applyBorder="1" applyAlignment="1">
      <alignment horizontal="center" vertical="center"/>
    </xf>
    <xf numFmtId="4" fontId="24" fillId="29" borderId="35" xfId="0" applyNumberFormat="1" applyFont="1" applyFill="1" applyBorder="1" applyAlignment="1">
      <alignment horizontal="center" vertical="center" wrapText="1"/>
    </xf>
    <xf numFmtId="173" fontId="24" fillId="0" borderId="15" xfId="0" applyNumberFormat="1" applyFont="1" applyFill="1" applyBorder="1" applyAlignment="1">
      <alignment horizontal="center" vertical="center"/>
    </xf>
    <xf numFmtId="2" fontId="24" fillId="0" borderId="15" xfId="0" applyNumberFormat="1" applyFont="1" applyFill="1" applyBorder="1" applyAlignment="1">
      <alignment horizontal="center" vertical="center"/>
    </xf>
    <xf numFmtId="2" fontId="24" fillId="29" borderId="15" xfId="0" applyNumberFormat="1" applyFont="1" applyFill="1" applyBorder="1" applyAlignment="1">
      <alignment horizontal="center" vertical="center"/>
    </xf>
    <xf numFmtId="4" fontId="24" fillId="29" borderId="17" xfId="0" applyNumberFormat="1" applyFont="1" applyFill="1" applyBorder="1" applyAlignment="1">
      <alignment horizontal="center" vertical="center" wrapText="1"/>
    </xf>
    <xf numFmtId="172" fontId="24" fillId="29" borderId="20" xfId="0" applyNumberFormat="1" applyFont="1" applyFill="1" applyBorder="1" applyAlignment="1">
      <alignment horizontal="center" vertical="center" wrapText="1"/>
    </xf>
    <xf numFmtId="2" fontId="24" fillId="30" borderId="18" xfId="0" applyNumberFormat="1" applyFont="1" applyFill="1" applyBorder="1" applyAlignment="1">
      <alignment horizontal="center" vertical="center" wrapText="1"/>
    </xf>
    <xf numFmtId="172" fontId="24" fillId="28" borderId="20" xfId="0" applyNumberFormat="1" applyFont="1" applyFill="1" applyBorder="1" applyAlignment="1">
      <alignment horizontal="center" vertical="center" wrapText="1"/>
    </xf>
    <xf numFmtId="2" fontId="10" fillId="29" borderId="15" xfId="0" applyNumberFormat="1" applyFont="1" applyFill="1" applyBorder="1" applyAlignment="1">
      <alignment horizontal="center" vertical="center"/>
    </xf>
    <xf numFmtId="172" fontId="10" fillId="28" borderId="15" xfId="0" applyNumberFormat="1" applyFont="1" applyFill="1" applyBorder="1" applyAlignment="1">
      <alignment horizontal="center" vertical="center"/>
    </xf>
    <xf numFmtId="175" fontId="10" fillId="28" borderId="15" xfId="0" applyNumberFormat="1" applyFont="1" applyFill="1" applyBorder="1" applyAlignment="1">
      <alignment horizontal="center" vertical="center"/>
    </xf>
    <xf numFmtId="172" fontId="10" fillId="30" borderId="15" xfId="0" applyNumberFormat="1" applyFont="1" applyFill="1" applyBorder="1" applyAlignment="1">
      <alignment horizontal="center" vertical="center"/>
    </xf>
    <xf numFmtId="2" fontId="20" fillId="29" borderId="97" xfId="0" applyNumberFormat="1" applyFont="1" applyFill="1" applyBorder="1" applyAlignment="1">
      <alignment horizontal="center" vertical="center" wrapText="1"/>
    </xf>
    <xf numFmtId="2" fontId="20" fillId="29" borderId="18" xfId="0" applyNumberFormat="1" applyFont="1" applyFill="1" applyBorder="1" applyAlignment="1">
      <alignment horizontal="center" vertical="center" wrapText="1"/>
    </xf>
    <xf numFmtId="4" fontId="20" fillId="29" borderId="18" xfId="0" applyNumberFormat="1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174" fontId="41" fillId="6" borderId="15" xfId="0" applyNumberFormat="1" applyFont="1" applyFill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/>
    </xf>
    <xf numFmtId="0" fontId="40" fillId="0" borderId="103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 wrapText="1"/>
    </xf>
    <xf numFmtId="0" fontId="47" fillId="0" borderId="15" xfId="0" applyFont="1" applyFill="1" applyBorder="1" applyAlignment="1">
      <alignment horizontal="center" vertical="center" wrapText="1"/>
    </xf>
    <xf numFmtId="174" fontId="47" fillId="6" borderId="15" xfId="0" applyNumberFormat="1" applyFont="1" applyFill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03" xfId="0" applyFont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 wrapText="1"/>
    </xf>
    <xf numFmtId="0" fontId="40" fillId="0" borderId="40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47" fillId="0" borderId="41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 wrapText="1"/>
    </xf>
    <xf numFmtId="174" fontId="41" fillId="6" borderId="105" xfId="0" applyNumberFormat="1" applyFont="1" applyFill="1" applyBorder="1" applyAlignment="1">
      <alignment horizontal="center" vertical="center" wrapText="1"/>
    </xf>
    <xf numFmtId="174" fontId="41" fillId="6" borderId="106" xfId="0" applyNumberFormat="1" applyFont="1" applyFill="1" applyBorder="1" applyAlignment="1">
      <alignment horizontal="center" vertical="center" wrapText="1"/>
    </xf>
    <xf numFmtId="174" fontId="41" fillId="6" borderId="107" xfId="0" applyNumberFormat="1" applyFont="1" applyFill="1" applyBorder="1" applyAlignment="1">
      <alignment horizontal="center" vertical="center" wrapText="1"/>
    </xf>
    <xf numFmtId="174" fontId="41" fillId="6" borderId="108" xfId="0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174" fontId="22" fillId="6" borderId="15" xfId="0" applyNumberFormat="1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0" fillId="0" borderId="103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33" fillId="0" borderId="40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41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center" vertical="center"/>
    </xf>
    <xf numFmtId="0" fontId="37" fillId="0" borderId="0" xfId="0" applyFont="1" applyAlignment="1">
      <alignment horizontal="left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174" fontId="22" fillId="6" borderId="109" xfId="0" applyNumberFormat="1" applyFont="1" applyFill="1" applyBorder="1" applyAlignment="1">
      <alignment horizontal="center" vertical="center" wrapText="1"/>
    </xf>
    <xf numFmtId="174" fontId="22" fillId="6" borderId="106" xfId="0" applyNumberFormat="1" applyFont="1" applyFill="1" applyBorder="1" applyAlignment="1">
      <alignment horizontal="center" vertical="center" wrapText="1"/>
    </xf>
    <xf numFmtId="174" fontId="22" fillId="6" borderId="107" xfId="0" applyNumberFormat="1" applyFont="1" applyFill="1" applyBorder="1" applyAlignment="1">
      <alignment horizontal="center" vertical="center" wrapText="1"/>
    </xf>
    <xf numFmtId="174" fontId="22" fillId="6" borderId="108" xfId="0" applyNumberFormat="1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62" fillId="33" borderId="0" xfId="0" applyFont="1" applyFill="1" applyAlignment="1">
      <alignment/>
    </xf>
    <xf numFmtId="0" fontId="63" fillId="33" borderId="0" xfId="0" applyFont="1" applyFill="1" applyAlignment="1">
      <alignment/>
    </xf>
    <xf numFmtId="14" fontId="62" fillId="33" borderId="0" xfId="0" applyNumberFormat="1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&#1099;%20&#1087;&#1086;%20&#1065;&#1052;&#104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ash%20flow%20Novembrerev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ЩМА (3)"/>
    </sheetNames>
    <sheetDataSet>
      <sheetData sheetId="0">
        <row r="20">
          <cell r="H20">
            <v>125.91140476079994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terial потребность"/>
      <sheetName val="Мех. персонал"/>
      <sheetName val="План техника перс."/>
      <sheetName val="PL RECUPERO"/>
      <sheetName val="Cash Flow RECUPERO (2) rev1"/>
      <sheetName val="Foglio2"/>
      <sheetName val="Foglio3"/>
      <sheetName val="график 5 поток"/>
    </sheetNames>
    <sheetDataSet>
      <sheetData sheetId="0">
        <row r="19">
          <cell r="L19">
            <v>38241.615000000005</v>
          </cell>
        </row>
        <row r="25">
          <cell r="L25">
            <v>32749.828750000004</v>
          </cell>
        </row>
        <row r="43">
          <cell r="L43">
            <v>269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"/>
  <sheetViews>
    <sheetView zoomScalePageLayoutView="0" workbookViewId="0" topLeftCell="A4">
      <selection activeCell="I19" sqref="I19"/>
    </sheetView>
  </sheetViews>
  <sheetFormatPr defaultColWidth="9.00390625" defaultRowHeight="12.75"/>
  <cols>
    <col min="1" max="1" width="4.00390625" style="0" customWidth="1"/>
    <col min="2" max="2" width="36.125" style="0" customWidth="1"/>
    <col min="4" max="4" width="16.625" style="0" customWidth="1"/>
    <col min="5" max="5" width="17.375" style="0" customWidth="1"/>
    <col min="6" max="6" width="8.625" style="0" hidden="1" customWidth="1"/>
    <col min="7" max="7" width="8.25390625" style="0" hidden="1" customWidth="1"/>
    <col min="8" max="8" width="10.375" style="0" customWidth="1"/>
    <col min="17" max="17" width="7.75390625" style="0" customWidth="1"/>
    <col min="18" max="18" width="8.625" style="0" customWidth="1"/>
    <col min="21" max="21" width="9.75390625" style="0" customWidth="1"/>
  </cols>
  <sheetData>
    <row r="1" spans="1:27" ht="13.5" customHeight="1">
      <c r="A1" s="733" t="s">
        <v>61</v>
      </c>
      <c r="B1" s="733"/>
      <c r="C1" s="733"/>
      <c r="D1" s="733"/>
      <c r="E1" s="733"/>
      <c r="F1" s="733"/>
      <c r="G1" s="733"/>
      <c r="H1" s="733"/>
      <c r="I1" s="733"/>
      <c r="J1" s="733"/>
      <c r="K1" s="733"/>
      <c r="L1" s="733"/>
      <c r="M1" s="733"/>
      <c r="N1" s="733"/>
      <c r="O1" s="733"/>
      <c r="P1" s="733"/>
      <c r="Q1" s="733"/>
      <c r="R1" s="733"/>
      <c r="S1" s="733"/>
      <c r="T1" s="733"/>
      <c r="U1" s="733"/>
      <c r="V1" s="733"/>
      <c r="W1" s="733"/>
      <c r="X1" s="733"/>
      <c r="Y1" s="733"/>
      <c r="Z1" s="733"/>
      <c r="AA1" s="733"/>
    </row>
    <row r="2" spans="1:27" ht="33" customHeight="1">
      <c r="A2" s="733"/>
      <c r="B2" s="733"/>
      <c r="C2" s="733"/>
      <c r="D2" s="733"/>
      <c r="E2" s="733"/>
      <c r="F2" s="733"/>
      <c r="G2" s="733"/>
      <c r="H2" s="733"/>
      <c r="I2" s="733"/>
      <c r="J2" s="733"/>
      <c r="K2" s="733"/>
      <c r="L2" s="733"/>
      <c r="M2" s="733"/>
      <c r="N2" s="733"/>
      <c r="O2" s="733"/>
      <c r="P2" s="733"/>
      <c r="Q2" s="733"/>
      <c r="R2" s="733"/>
      <c r="S2" s="733"/>
      <c r="T2" s="733"/>
      <c r="U2" s="733"/>
      <c r="V2" s="733"/>
      <c r="W2" s="733"/>
      <c r="X2" s="733"/>
      <c r="Y2" s="733"/>
      <c r="Z2" s="733"/>
      <c r="AA2" s="733"/>
    </row>
    <row r="3" spans="1:27" ht="14.25" customHeight="1" thickBot="1">
      <c r="A3" s="171"/>
      <c r="B3" s="171"/>
      <c r="C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519" t="s">
        <v>81</v>
      </c>
      <c r="S3" s="171"/>
      <c r="T3" s="520" t="s">
        <v>85</v>
      </c>
      <c r="U3" s="171"/>
      <c r="V3" s="171"/>
      <c r="W3" s="171"/>
      <c r="X3" s="171"/>
      <c r="Y3" s="171"/>
      <c r="Z3" s="171"/>
      <c r="AA3" s="171"/>
    </row>
    <row r="4" spans="1:27" ht="24" customHeight="1" thickBot="1">
      <c r="A4" s="734" t="s">
        <v>6</v>
      </c>
      <c r="B4" s="735" t="s">
        <v>7</v>
      </c>
      <c r="C4" s="734" t="s">
        <v>8</v>
      </c>
      <c r="D4" s="730" t="s">
        <v>83</v>
      </c>
      <c r="E4" s="730" t="s">
        <v>84</v>
      </c>
      <c r="F4" s="734" t="s">
        <v>50</v>
      </c>
      <c r="G4" s="734"/>
      <c r="H4" s="730" t="s">
        <v>82</v>
      </c>
      <c r="I4" s="736" t="s">
        <v>9</v>
      </c>
      <c r="J4" s="736"/>
      <c r="K4" s="736"/>
      <c r="L4" s="736"/>
      <c r="M4" s="736"/>
      <c r="N4" s="736"/>
      <c r="O4" s="736"/>
      <c r="P4" s="736"/>
      <c r="Q4" s="736"/>
      <c r="R4" s="736"/>
      <c r="S4" s="736"/>
      <c r="T4" s="736"/>
      <c r="U4" s="736"/>
      <c r="V4" s="172"/>
      <c r="W4" s="172"/>
      <c r="X4" s="172"/>
      <c r="Y4" s="171"/>
      <c r="Z4" s="171"/>
      <c r="AA4" s="171"/>
    </row>
    <row r="5" spans="1:27" ht="23.25" customHeight="1" thickBot="1">
      <c r="A5" s="734"/>
      <c r="B5" s="735"/>
      <c r="C5" s="734"/>
      <c r="D5" s="731"/>
      <c r="E5" s="731"/>
      <c r="F5" s="176" t="s">
        <v>49</v>
      </c>
      <c r="G5" s="392" t="s">
        <v>10</v>
      </c>
      <c r="H5" s="731"/>
      <c r="I5" s="737" t="s">
        <v>4</v>
      </c>
      <c r="J5" s="738"/>
      <c r="K5" s="176" t="s">
        <v>3</v>
      </c>
      <c r="L5" s="392" t="s">
        <v>0</v>
      </c>
      <c r="M5" s="176" t="s">
        <v>1</v>
      </c>
      <c r="N5" s="392" t="s">
        <v>5</v>
      </c>
      <c r="O5" s="176" t="s">
        <v>11</v>
      </c>
      <c r="P5" s="392" t="s">
        <v>12</v>
      </c>
      <c r="Q5" s="176" t="s">
        <v>13</v>
      </c>
      <c r="R5" s="392" t="s">
        <v>14</v>
      </c>
      <c r="S5" s="393" t="s">
        <v>15</v>
      </c>
      <c r="T5" s="394" t="s">
        <v>16</v>
      </c>
      <c r="U5" s="394" t="s">
        <v>17</v>
      </c>
      <c r="V5" s="174"/>
      <c r="W5" s="174"/>
      <c r="X5" s="174"/>
      <c r="Y5" s="175"/>
      <c r="Z5" s="171"/>
      <c r="AA5" s="171"/>
    </row>
    <row r="6" spans="1:27" ht="15.75" thickBot="1">
      <c r="A6" s="176"/>
      <c r="B6" s="176"/>
      <c r="C6" s="176"/>
      <c r="D6" s="524"/>
      <c r="E6" s="19"/>
      <c r="F6" s="395"/>
      <c r="G6" s="396"/>
      <c r="H6" s="396"/>
      <c r="I6" s="415" t="s">
        <v>49</v>
      </c>
      <c r="J6" s="474" t="s">
        <v>10</v>
      </c>
      <c r="K6" s="397"/>
      <c r="L6" s="398"/>
      <c r="M6" s="397"/>
      <c r="N6" s="398"/>
      <c r="O6" s="397"/>
      <c r="P6" s="398"/>
      <c r="Q6" s="397"/>
      <c r="R6" s="398"/>
      <c r="S6" s="397"/>
      <c r="T6" s="397"/>
      <c r="U6" s="398"/>
      <c r="V6" s="174"/>
      <c r="W6" s="174"/>
      <c r="X6" s="174"/>
      <c r="Y6" s="175"/>
      <c r="Z6" s="171"/>
      <c r="AA6" s="171"/>
    </row>
    <row r="7" spans="1:27" ht="25.5" customHeight="1" thickBot="1">
      <c r="A7" s="233">
        <v>1</v>
      </c>
      <c r="B7" s="178" t="s">
        <v>62</v>
      </c>
      <c r="C7" s="233" t="s">
        <v>19</v>
      </c>
      <c r="D7" s="525">
        <v>764.9</v>
      </c>
      <c r="E7" s="526">
        <v>315.21</v>
      </c>
      <c r="F7" s="192">
        <f>+F8+F9+F10</f>
        <v>689.4</v>
      </c>
      <c r="G7" s="192">
        <f>+G8+G9+G10</f>
        <v>41.8</v>
      </c>
      <c r="H7" s="192">
        <f>F7-G7</f>
        <v>647.6</v>
      </c>
      <c r="I7" s="352">
        <f>+I8+I9+I10</f>
        <v>181.3</v>
      </c>
      <c r="J7" s="499">
        <v>87.84</v>
      </c>
      <c r="K7" s="352">
        <f>+K8+K9+K10</f>
        <v>101.4</v>
      </c>
      <c r="L7" s="192">
        <f>+L8+L9+L10</f>
        <v>123.1</v>
      </c>
      <c r="M7" s="332">
        <f>+M8+M9+M10</f>
        <v>83.30000000000001</v>
      </c>
      <c r="N7" s="192">
        <f>+N8+N9+N10</f>
        <v>60</v>
      </c>
      <c r="O7" s="192">
        <f>+O8+O9+O10</f>
        <v>60</v>
      </c>
      <c r="P7" s="192">
        <f>P9</f>
        <v>0</v>
      </c>
      <c r="Q7" s="192">
        <f>+Q8+Q9+Q10</f>
        <v>0</v>
      </c>
      <c r="R7" s="192">
        <f>+R8+R9+R10</f>
        <v>0</v>
      </c>
      <c r="S7" s="192">
        <f>+S8+S9+S10</f>
        <v>0</v>
      </c>
      <c r="T7" s="192">
        <f>+T8+T9+T10</f>
        <v>0</v>
      </c>
      <c r="U7" s="192">
        <f>+U8+U9+U10</f>
        <v>0</v>
      </c>
      <c r="V7" s="181">
        <f>SUM(I7:U7)</f>
        <v>696.94</v>
      </c>
      <c r="W7" s="182">
        <f>V7-H7</f>
        <v>49.34000000000003</v>
      </c>
      <c r="X7" s="183">
        <f>1020.81-88.25-243.16</f>
        <v>689.4</v>
      </c>
      <c r="Y7" s="175"/>
      <c r="Z7" s="171"/>
      <c r="AA7" s="171"/>
    </row>
    <row r="8" spans="1:27" ht="21" customHeight="1" thickBot="1">
      <c r="A8" s="220"/>
      <c r="B8" s="247" t="s">
        <v>63</v>
      </c>
      <c r="C8" s="220" t="s">
        <v>19</v>
      </c>
      <c r="D8" s="527">
        <v>208.4</v>
      </c>
      <c r="E8" s="528">
        <v>160.03</v>
      </c>
      <c r="F8" s="399">
        <v>230.6</v>
      </c>
      <c r="G8" s="399">
        <v>16.5</v>
      </c>
      <c r="H8" s="399">
        <f>F8-G8</f>
        <v>214.1</v>
      </c>
      <c r="I8" s="381">
        <v>108.5</v>
      </c>
      <c r="J8" s="474">
        <v>39.18</v>
      </c>
      <c r="K8" s="381">
        <v>60</v>
      </c>
      <c r="L8" s="381">
        <f>36.4+4.2</f>
        <v>40.6</v>
      </c>
      <c r="M8" s="381">
        <v>35.6</v>
      </c>
      <c r="N8" s="381">
        <v>10</v>
      </c>
      <c r="O8" s="381"/>
      <c r="P8" s="381"/>
      <c r="Q8" s="381"/>
      <c r="R8" s="381"/>
      <c r="S8" s="381"/>
      <c r="T8" s="381"/>
      <c r="U8" s="381"/>
      <c r="V8" s="182">
        <f aca="true" t="shared" si="0" ref="V8:V32">SUM(I8:U8)</f>
        <v>293.88</v>
      </c>
      <c r="W8" s="183">
        <f aca="true" t="shared" si="1" ref="W8:W32">V8-H8</f>
        <v>79.78</v>
      </c>
      <c r="X8" s="182"/>
      <c r="Y8" s="175"/>
      <c r="Z8" s="171"/>
      <c r="AA8" s="171"/>
    </row>
    <row r="9" spans="1:27" ht="24" customHeight="1" thickBot="1">
      <c r="A9" s="220"/>
      <c r="B9" s="247" t="s">
        <v>64</v>
      </c>
      <c r="C9" s="220" t="s">
        <v>19</v>
      </c>
      <c r="D9" s="529">
        <v>301.84</v>
      </c>
      <c r="E9" s="530">
        <v>155.18</v>
      </c>
      <c r="F9" s="399">
        <v>292.7</v>
      </c>
      <c r="G9" s="399"/>
      <c r="H9" s="399">
        <f>F9-G9</f>
        <v>292.7</v>
      </c>
      <c r="I9" s="381">
        <v>69</v>
      </c>
      <c r="J9" s="474">
        <v>45.45</v>
      </c>
      <c r="K9" s="381">
        <v>34.5</v>
      </c>
      <c r="L9" s="381">
        <f>32.5+43.1</f>
        <v>75.6</v>
      </c>
      <c r="M9" s="381">
        <v>18.8</v>
      </c>
      <c r="N9" s="381">
        <v>5.6</v>
      </c>
      <c r="O9" s="381">
        <v>23.2</v>
      </c>
      <c r="P9" s="381"/>
      <c r="Q9" s="381"/>
      <c r="R9" s="381"/>
      <c r="S9" s="381"/>
      <c r="T9" s="381"/>
      <c r="U9" s="381"/>
      <c r="V9" s="182">
        <f t="shared" si="0"/>
        <v>272.15</v>
      </c>
      <c r="W9" s="183">
        <f t="shared" si="1"/>
        <v>-20.55000000000001</v>
      </c>
      <c r="X9" s="183">
        <f>406.1-X7</f>
        <v>-283.29999999999995</v>
      </c>
      <c r="Y9" s="175"/>
      <c r="Z9" s="171"/>
      <c r="AA9" s="171"/>
    </row>
    <row r="10" spans="1:27" ht="22.5" customHeight="1" thickBot="1">
      <c r="A10" s="220"/>
      <c r="B10" s="247" t="s">
        <v>65</v>
      </c>
      <c r="C10" s="220" t="s">
        <v>19</v>
      </c>
      <c r="D10" s="531">
        <v>254.66</v>
      </c>
      <c r="E10" s="521">
        <v>73.42</v>
      </c>
      <c r="F10" s="399">
        <v>166.1</v>
      </c>
      <c r="G10" s="399">
        <v>25.3</v>
      </c>
      <c r="H10" s="399">
        <f>F10-G10</f>
        <v>140.79999999999998</v>
      </c>
      <c r="I10" s="381">
        <v>3.8</v>
      </c>
      <c r="J10" s="474">
        <v>3.21</v>
      </c>
      <c r="K10" s="381">
        <v>6.9</v>
      </c>
      <c r="L10" s="381">
        <v>6.9</v>
      </c>
      <c r="M10" s="381">
        <v>28.9</v>
      </c>
      <c r="N10" s="381">
        <v>44.4</v>
      </c>
      <c r="O10" s="381">
        <v>36.8</v>
      </c>
      <c r="P10" s="381"/>
      <c r="Q10" s="381"/>
      <c r="R10" s="381"/>
      <c r="S10" s="381"/>
      <c r="T10" s="381"/>
      <c r="U10" s="381"/>
      <c r="V10" s="182">
        <f t="shared" si="0"/>
        <v>130.91</v>
      </c>
      <c r="W10" s="181">
        <f t="shared" si="1"/>
        <v>-9.889999999999986</v>
      </c>
      <c r="X10" s="182"/>
      <c r="Y10" s="175"/>
      <c r="Z10" s="171"/>
      <c r="AA10" s="171"/>
    </row>
    <row r="11" spans="1:27" ht="22.5" customHeight="1" thickBot="1">
      <c r="A11" s="400">
        <v>2</v>
      </c>
      <c r="B11" s="401" t="s">
        <v>23</v>
      </c>
      <c r="C11" s="400" t="s">
        <v>19</v>
      </c>
      <c r="D11" s="529">
        <v>0.416</v>
      </c>
      <c r="E11" s="530"/>
      <c r="F11" s="402"/>
      <c r="G11" s="402"/>
      <c r="H11" s="402"/>
      <c r="I11" s="403"/>
      <c r="J11" s="633"/>
      <c r="K11" s="403"/>
      <c r="L11" s="403"/>
      <c r="M11" s="403"/>
      <c r="N11" s="403"/>
      <c r="O11" s="403"/>
      <c r="P11" s="403"/>
      <c r="Q11" s="403"/>
      <c r="R11" s="403"/>
      <c r="S11" s="403"/>
      <c r="T11" s="403"/>
      <c r="U11" s="403"/>
      <c r="V11" s="182">
        <f t="shared" si="0"/>
        <v>0</v>
      </c>
      <c r="W11" s="182">
        <f t="shared" si="1"/>
        <v>0</v>
      </c>
      <c r="X11" s="182"/>
      <c r="Y11" s="175"/>
      <c r="Z11" s="171"/>
      <c r="AA11" s="171"/>
    </row>
    <row r="12" spans="1:27" ht="22.5" customHeight="1" thickBot="1">
      <c r="A12" s="233">
        <v>3</v>
      </c>
      <c r="B12" s="178" t="s">
        <v>66</v>
      </c>
      <c r="C12" s="233" t="s">
        <v>19</v>
      </c>
      <c r="D12" s="531">
        <v>553.92</v>
      </c>
      <c r="E12" s="521">
        <v>93.97</v>
      </c>
      <c r="F12" s="404">
        <f>600-96.03-262.48</f>
        <v>241.49</v>
      </c>
      <c r="G12" s="404"/>
      <c r="H12" s="404">
        <f>F12</f>
        <v>241.49</v>
      </c>
      <c r="I12" s="405"/>
      <c r="J12" s="634">
        <v>4.04</v>
      </c>
      <c r="K12" s="384"/>
      <c r="L12" s="384">
        <v>14</v>
      </c>
      <c r="M12" s="384">
        <v>14</v>
      </c>
      <c r="N12" s="384">
        <v>4</v>
      </c>
      <c r="O12" s="384">
        <v>6</v>
      </c>
      <c r="P12" s="384">
        <v>5.4</v>
      </c>
      <c r="Q12" s="405"/>
      <c r="R12" s="405"/>
      <c r="S12" s="405"/>
      <c r="T12" s="405"/>
      <c r="U12" s="405"/>
      <c r="V12" s="182">
        <f t="shared" si="0"/>
        <v>47.44</v>
      </c>
      <c r="W12" s="182">
        <f t="shared" si="1"/>
        <v>-194.05</v>
      </c>
      <c r="X12" s="182"/>
      <c r="Y12" s="175"/>
      <c r="Z12" s="171"/>
      <c r="AA12" s="171"/>
    </row>
    <row r="13" spans="1:27" ht="20.25" customHeight="1" thickBot="1">
      <c r="A13" s="241">
        <f>1+A12</f>
        <v>4</v>
      </c>
      <c r="B13" s="188" t="s">
        <v>25</v>
      </c>
      <c r="C13" s="241" t="s">
        <v>19</v>
      </c>
      <c r="D13" s="532">
        <v>11.34</v>
      </c>
      <c r="E13" s="533">
        <v>0</v>
      </c>
      <c r="F13" s="385">
        <v>10</v>
      </c>
      <c r="G13" s="385"/>
      <c r="H13" s="406">
        <f>F13-G13</f>
        <v>10</v>
      </c>
      <c r="I13" s="383"/>
      <c r="J13" s="475"/>
      <c r="K13" s="383"/>
      <c r="L13" s="383"/>
      <c r="M13" s="383"/>
      <c r="N13" s="383">
        <v>5</v>
      </c>
      <c r="O13" s="383">
        <v>5</v>
      </c>
      <c r="P13" s="383"/>
      <c r="Q13" s="383"/>
      <c r="R13" s="383"/>
      <c r="S13" s="383"/>
      <c r="T13" s="383"/>
      <c r="U13" s="383"/>
      <c r="V13" s="182">
        <f t="shared" si="0"/>
        <v>10</v>
      </c>
      <c r="W13" s="182">
        <f t="shared" si="1"/>
        <v>0</v>
      </c>
      <c r="X13" s="182"/>
      <c r="Y13" s="175"/>
      <c r="Z13" s="171"/>
      <c r="AA13" s="171"/>
    </row>
    <row r="14" spans="1:27" ht="19.5" customHeight="1" thickBot="1">
      <c r="A14" s="241">
        <f aca="true" t="shared" si="2" ref="A14:A32">1+A13</f>
        <v>5</v>
      </c>
      <c r="B14" s="178" t="s">
        <v>67</v>
      </c>
      <c r="C14" s="233" t="s">
        <v>19</v>
      </c>
      <c r="D14" s="531">
        <v>24.75</v>
      </c>
      <c r="E14" s="521">
        <v>5</v>
      </c>
      <c r="F14" s="192">
        <f>23.13-1.71-5.42</f>
        <v>15.999999999999998</v>
      </c>
      <c r="G14" s="192">
        <v>1.3</v>
      </c>
      <c r="H14" s="192">
        <f>F14-G14</f>
        <v>14.699999999999998</v>
      </c>
      <c r="I14" s="384"/>
      <c r="J14" s="634"/>
      <c r="K14" s="384">
        <v>1.5</v>
      </c>
      <c r="L14" s="384">
        <f>4.3-I14-1.5</f>
        <v>2.8</v>
      </c>
      <c r="M14" s="384"/>
      <c r="N14" s="384"/>
      <c r="O14" s="384">
        <v>3</v>
      </c>
      <c r="P14" s="384">
        <v>2.9</v>
      </c>
      <c r="Q14" s="384">
        <v>2.9</v>
      </c>
      <c r="R14" s="384">
        <v>2.9</v>
      </c>
      <c r="S14" s="384"/>
      <c r="T14" s="384"/>
      <c r="U14" s="384"/>
      <c r="V14" s="182">
        <f>SUM(I14:U14)</f>
        <v>16</v>
      </c>
      <c r="W14" s="182">
        <f t="shared" si="1"/>
        <v>1.3000000000000025</v>
      </c>
      <c r="X14" s="182"/>
      <c r="Y14" s="175"/>
      <c r="Z14" s="171"/>
      <c r="AA14" s="171"/>
    </row>
    <row r="15" spans="1:27" ht="22.5" customHeight="1" thickBot="1">
      <c r="A15" s="241">
        <f t="shared" si="2"/>
        <v>6</v>
      </c>
      <c r="B15" s="188" t="s">
        <v>27</v>
      </c>
      <c r="C15" s="241" t="s">
        <v>19</v>
      </c>
      <c r="D15" s="532">
        <v>0.58</v>
      </c>
      <c r="E15" s="533">
        <v>0.12</v>
      </c>
      <c r="F15" s="385"/>
      <c r="G15" s="385"/>
      <c r="H15" s="385"/>
      <c r="I15" s="385"/>
      <c r="J15" s="475"/>
      <c r="K15" s="383"/>
      <c r="L15" s="383"/>
      <c r="M15" s="383"/>
      <c r="N15" s="383"/>
      <c r="O15" s="383"/>
      <c r="P15" s="383"/>
      <c r="Q15" s="383"/>
      <c r="R15" s="383"/>
      <c r="S15" s="383"/>
      <c r="T15" s="383"/>
      <c r="U15" s="383"/>
      <c r="V15" s="182">
        <f t="shared" si="0"/>
        <v>0</v>
      </c>
      <c r="W15" s="182">
        <f t="shared" si="1"/>
        <v>0</v>
      </c>
      <c r="X15" s="182"/>
      <c r="Y15" s="175"/>
      <c r="Z15" s="171"/>
      <c r="AA15" s="171"/>
    </row>
    <row r="16" spans="1:27" ht="20.25" customHeight="1" thickBot="1">
      <c r="A16" s="241">
        <f t="shared" si="2"/>
        <v>7</v>
      </c>
      <c r="B16" s="178" t="s">
        <v>28</v>
      </c>
      <c r="C16" s="233" t="s">
        <v>29</v>
      </c>
      <c r="D16" s="531">
        <v>0.96</v>
      </c>
      <c r="E16" s="521">
        <v>0.16</v>
      </c>
      <c r="F16" s="192">
        <v>0.069</v>
      </c>
      <c r="G16" s="192">
        <v>0.069</v>
      </c>
      <c r="H16" s="192">
        <f>F16-G16</f>
        <v>0</v>
      </c>
      <c r="I16" s="386"/>
      <c r="J16" s="476"/>
      <c r="K16" s="387"/>
      <c r="L16" s="386"/>
      <c r="M16" s="386"/>
      <c r="N16" s="386"/>
      <c r="O16" s="386"/>
      <c r="P16" s="386"/>
      <c r="Q16" s="386"/>
      <c r="R16" s="386"/>
      <c r="S16" s="386"/>
      <c r="T16" s="386"/>
      <c r="U16" s="386"/>
      <c r="V16" s="182">
        <f t="shared" si="0"/>
        <v>0</v>
      </c>
      <c r="W16" s="182">
        <f t="shared" si="1"/>
        <v>0</v>
      </c>
      <c r="X16" s="182"/>
      <c r="Y16" s="175"/>
      <c r="Z16" s="171"/>
      <c r="AA16" s="171"/>
    </row>
    <row r="17" spans="1:27" ht="21.75" customHeight="1" thickBot="1">
      <c r="A17" s="241">
        <f t="shared" si="2"/>
        <v>8</v>
      </c>
      <c r="B17" s="188" t="s">
        <v>30</v>
      </c>
      <c r="C17" s="241" t="s">
        <v>31</v>
      </c>
      <c r="D17" s="532">
        <v>33.32</v>
      </c>
      <c r="E17" s="533">
        <v>23.62</v>
      </c>
      <c r="F17" s="385">
        <v>0</v>
      </c>
      <c r="G17" s="385"/>
      <c r="H17" s="385"/>
      <c r="I17" s="383"/>
      <c r="J17" s="475"/>
      <c r="K17" s="383"/>
      <c r="L17" s="383"/>
      <c r="M17" s="383"/>
      <c r="N17" s="383"/>
      <c r="O17" s="383"/>
      <c r="P17" s="383"/>
      <c r="Q17" s="383"/>
      <c r="R17" s="383"/>
      <c r="S17" s="383"/>
      <c r="T17" s="383"/>
      <c r="U17" s="383"/>
      <c r="V17" s="182">
        <f t="shared" si="0"/>
        <v>0</v>
      </c>
      <c r="W17" s="182">
        <f t="shared" si="1"/>
        <v>0</v>
      </c>
      <c r="X17" s="182"/>
      <c r="Y17" s="175"/>
      <c r="Z17" s="171"/>
      <c r="AA17" s="171"/>
    </row>
    <row r="18" spans="1:27" ht="21.75" customHeight="1" thickBot="1">
      <c r="A18" s="241">
        <f t="shared" si="2"/>
        <v>9</v>
      </c>
      <c r="B18" s="188" t="s">
        <v>75</v>
      </c>
      <c r="C18" s="241"/>
      <c r="D18" s="531"/>
      <c r="E18" s="521"/>
      <c r="F18" s="385"/>
      <c r="G18" s="385"/>
      <c r="H18" s="385"/>
      <c r="I18" s="383"/>
      <c r="J18" s="475"/>
      <c r="K18" s="383"/>
      <c r="L18" s="383"/>
      <c r="M18" s="383"/>
      <c r="N18" s="383"/>
      <c r="O18" s="383"/>
      <c r="P18" s="383"/>
      <c r="Q18" s="383"/>
      <c r="R18" s="383"/>
      <c r="S18" s="383"/>
      <c r="T18" s="383"/>
      <c r="U18" s="383"/>
      <c r="V18" s="182"/>
      <c r="W18" s="182"/>
      <c r="X18" s="182"/>
      <c r="Y18" s="175"/>
      <c r="Z18" s="171"/>
      <c r="AA18" s="171"/>
    </row>
    <row r="19" spans="1:27" ht="21" customHeight="1" thickBot="1">
      <c r="A19" s="241">
        <f t="shared" si="2"/>
        <v>10</v>
      </c>
      <c r="B19" s="178" t="s">
        <v>32</v>
      </c>
      <c r="C19" s="233" t="s">
        <v>2</v>
      </c>
      <c r="D19" s="534">
        <v>1764</v>
      </c>
      <c r="E19" s="535">
        <v>1764</v>
      </c>
      <c r="F19" s="192">
        <v>1764</v>
      </c>
      <c r="G19" s="192"/>
      <c r="H19" s="192">
        <f>F19-G19</f>
        <v>1764</v>
      </c>
      <c r="I19" s="386"/>
      <c r="J19" s="476"/>
      <c r="K19" s="386"/>
      <c r="L19" s="386"/>
      <c r="M19" s="386"/>
      <c r="N19" s="386"/>
      <c r="O19" s="384">
        <v>1764</v>
      </c>
      <c r="P19" s="386"/>
      <c r="Q19" s="386"/>
      <c r="R19" s="386"/>
      <c r="S19" s="386"/>
      <c r="T19" s="386"/>
      <c r="U19" s="386"/>
      <c r="V19" s="182">
        <f t="shared" si="0"/>
        <v>1764</v>
      </c>
      <c r="W19" s="182">
        <f t="shared" si="1"/>
        <v>0</v>
      </c>
      <c r="X19" s="182"/>
      <c r="Y19" s="175"/>
      <c r="Z19" s="171"/>
      <c r="AA19" s="171"/>
    </row>
    <row r="20" spans="1:27" ht="19.5" customHeight="1" thickBot="1">
      <c r="A20" s="241">
        <f t="shared" si="2"/>
        <v>11</v>
      </c>
      <c r="B20" s="188" t="s">
        <v>33</v>
      </c>
      <c r="C20" s="241" t="s">
        <v>19</v>
      </c>
      <c r="D20" s="531">
        <v>0.02</v>
      </c>
      <c r="E20" s="521">
        <v>0.02</v>
      </c>
      <c r="F20" s="383"/>
      <c r="G20" s="383"/>
      <c r="H20" s="383"/>
      <c r="I20" s="383"/>
      <c r="J20" s="475"/>
      <c r="K20" s="383"/>
      <c r="L20" s="383"/>
      <c r="M20" s="383"/>
      <c r="N20" s="383"/>
      <c r="O20" s="383"/>
      <c r="P20" s="383"/>
      <c r="Q20" s="383"/>
      <c r="R20" s="383"/>
      <c r="S20" s="383"/>
      <c r="T20" s="383"/>
      <c r="U20" s="383"/>
      <c r="V20" s="182">
        <f t="shared" si="0"/>
        <v>0</v>
      </c>
      <c r="W20" s="182">
        <f t="shared" si="1"/>
        <v>0</v>
      </c>
      <c r="X20" s="182"/>
      <c r="Y20" s="175"/>
      <c r="Z20" s="171"/>
      <c r="AA20" s="171"/>
    </row>
    <row r="21" spans="1:27" ht="20.25" customHeight="1" thickBot="1">
      <c r="A21" s="241">
        <f t="shared" si="2"/>
        <v>12</v>
      </c>
      <c r="B21" s="178" t="s">
        <v>34</v>
      </c>
      <c r="C21" s="233" t="s">
        <v>35</v>
      </c>
      <c r="D21" s="529"/>
      <c r="E21" s="530"/>
      <c r="F21" s="386">
        <v>0</v>
      </c>
      <c r="G21" s="386"/>
      <c r="H21" s="386"/>
      <c r="I21" s="386"/>
      <c r="J21" s="47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182">
        <f t="shared" si="0"/>
        <v>0</v>
      </c>
      <c r="W21" s="182">
        <f t="shared" si="1"/>
        <v>0</v>
      </c>
      <c r="X21" s="182"/>
      <c r="Y21" s="175"/>
      <c r="Z21" s="171"/>
      <c r="AA21" s="171"/>
    </row>
    <row r="22" spans="1:27" ht="24" customHeight="1" thickBot="1">
      <c r="A22" s="241">
        <f t="shared" si="2"/>
        <v>13</v>
      </c>
      <c r="B22" s="247" t="s">
        <v>36</v>
      </c>
      <c r="C22" s="220" t="s">
        <v>2</v>
      </c>
      <c r="D22" s="531">
        <v>490</v>
      </c>
      <c r="E22" s="521">
        <v>490</v>
      </c>
      <c r="F22" s="385">
        <f>472+6+2+10</f>
        <v>490</v>
      </c>
      <c r="G22" s="385"/>
      <c r="H22" s="192">
        <f>F22-G22</f>
        <v>490</v>
      </c>
      <c r="I22" s="383"/>
      <c r="J22" s="475"/>
      <c r="K22" s="383"/>
      <c r="L22" s="383"/>
      <c r="M22" s="383"/>
      <c r="N22" s="383"/>
      <c r="O22" s="383"/>
      <c r="P22" s="383">
        <v>490</v>
      </c>
      <c r="Q22" s="383"/>
      <c r="R22" s="383"/>
      <c r="S22" s="383"/>
      <c r="T22" s="383"/>
      <c r="U22" s="383"/>
      <c r="V22" s="182">
        <f t="shared" si="0"/>
        <v>490</v>
      </c>
      <c r="W22" s="182">
        <f t="shared" si="1"/>
        <v>0</v>
      </c>
      <c r="X22" s="182"/>
      <c r="Y22" s="201"/>
      <c r="Z22" s="171"/>
      <c r="AA22" s="171"/>
    </row>
    <row r="23" spans="1:27" ht="20.25" customHeight="1" thickBot="1">
      <c r="A23" s="241">
        <f t="shared" si="2"/>
        <v>14</v>
      </c>
      <c r="B23" s="178" t="s">
        <v>37</v>
      </c>
      <c r="C23" s="233" t="s">
        <v>2</v>
      </c>
      <c r="D23" s="529"/>
      <c r="E23" s="530"/>
      <c r="F23" s="386"/>
      <c r="G23" s="386"/>
      <c r="H23" s="386"/>
      <c r="I23" s="386"/>
      <c r="J23" s="476"/>
      <c r="K23" s="386"/>
      <c r="L23" s="386"/>
      <c r="M23" s="386"/>
      <c r="N23" s="386"/>
      <c r="O23" s="386"/>
      <c r="P23" s="386"/>
      <c r="Q23" s="386"/>
      <c r="R23" s="386"/>
      <c r="S23" s="386"/>
      <c r="T23" s="386"/>
      <c r="U23" s="386"/>
      <c r="V23" s="182">
        <f t="shared" si="0"/>
        <v>0</v>
      </c>
      <c r="W23" s="182">
        <f t="shared" si="1"/>
        <v>0</v>
      </c>
      <c r="X23" s="182"/>
      <c r="Y23" s="175"/>
      <c r="Z23" s="171"/>
      <c r="AA23" s="171"/>
    </row>
    <row r="24" spans="1:27" ht="24" customHeight="1" thickBot="1">
      <c r="A24" s="241">
        <f t="shared" si="2"/>
        <v>15</v>
      </c>
      <c r="B24" s="247" t="s">
        <v>38</v>
      </c>
      <c r="C24" s="220" t="s">
        <v>35</v>
      </c>
      <c r="D24" s="531">
        <v>2100</v>
      </c>
      <c r="E24" s="521">
        <v>2100</v>
      </c>
      <c r="F24" s="385">
        <v>2100</v>
      </c>
      <c r="G24" s="385">
        <v>2100</v>
      </c>
      <c r="H24" s="192">
        <f>F24-G24</f>
        <v>0</v>
      </c>
      <c r="I24" s="383"/>
      <c r="J24" s="475"/>
      <c r="K24" s="383"/>
      <c r="L24" s="383"/>
      <c r="M24" s="383"/>
      <c r="N24" s="383"/>
      <c r="O24" s="383"/>
      <c r="P24" s="383"/>
      <c r="Q24" s="383"/>
      <c r="R24" s="383"/>
      <c r="S24" s="383"/>
      <c r="T24" s="383"/>
      <c r="U24" s="383"/>
      <c r="V24" s="182">
        <f t="shared" si="0"/>
        <v>0</v>
      </c>
      <c r="W24" s="182">
        <f t="shared" si="1"/>
        <v>0</v>
      </c>
      <c r="X24" s="182"/>
      <c r="Y24" s="175"/>
      <c r="Z24" s="171"/>
      <c r="AA24" s="171"/>
    </row>
    <row r="25" spans="1:27" ht="26.25" thickBot="1">
      <c r="A25" s="241">
        <f t="shared" si="2"/>
        <v>16</v>
      </c>
      <c r="B25" s="178" t="s">
        <v>39</v>
      </c>
      <c r="C25" s="233" t="s">
        <v>2</v>
      </c>
      <c r="D25" s="536">
        <v>805</v>
      </c>
      <c r="E25" s="523">
        <v>805</v>
      </c>
      <c r="F25" s="192"/>
      <c r="G25" s="192"/>
      <c r="H25" s="192"/>
      <c r="I25" s="386"/>
      <c r="J25" s="476"/>
      <c r="K25" s="386"/>
      <c r="L25" s="386"/>
      <c r="M25" s="386"/>
      <c r="N25" s="386"/>
      <c r="O25" s="386"/>
      <c r="P25" s="386"/>
      <c r="Q25" s="386"/>
      <c r="R25" s="386"/>
      <c r="S25" s="386"/>
      <c r="T25" s="386"/>
      <c r="U25" s="386"/>
      <c r="V25" s="182">
        <f t="shared" si="0"/>
        <v>0</v>
      </c>
      <c r="W25" s="182">
        <f t="shared" si="1"/>
        <v>0</v>
      </c>
      <c r="X25" s="182"/>
      <c r="Y25" s="175"/>
      <c r="Z25" s="171"/>
      <c r="AA25" s="171"/>
    </row>
    <row r="26" spans="1:27" ht="22.5" customHeight="1" thickBot="1">
      <c r="A26" s="241">
        <f t="shared" si="2"/>
        <v>17</v>
      </c>
      <c r="B26" s="247" t="s">
        <v>40</v>
      </c>
      <c r="C26" s="220" t="s">
        <v>41</v>
      </c>
      <c r="D26" s="529">
        <v>256.3</v>
      </c>
      <c r="E26" s="530">
        <v>256.3</v>
      </c>
      <c r="F26" s="385">
        <v>19.6</v>
      </c>
      <c r="G26" s="383"/>
      <c r="H26" s="406">
        <f>F26-G26</f>
        <v>19.6</v>
      </c>
      <c r="I26" s="383"/>
      <c r="J26" s="475"/>
      <c r="K26" s="383"/>
      <c r="L26" s="383"/>
      <c r="M26" s="383"/>
      <c r="N26" s="383"/>
      <c r="O26" s="383">
        <v>19.6</v>
      </c>
      <c r="P26" s="383"/>
      <c r="Q26" s="383"/>
      <c r="R26" s="383"/>
      <c r="S26" s="383"/>
      <c r="T26" s="383"/>
      <c r="U26" s="383"/>
      <c r="V26" s="182">
        <f t="shared" si="0"/>
        <v>19.6</v>
      </c>
      <c r="W26" s="182">
        <f t="shared" si="1"/>
        <v>0</v>
      </c>
      <c r="X26" s="182"/>
      <c r="Y26" s="175"/>
      <c r="Z26" s="171"/>
      <c r="AA26" s="171"/>
    </row>
    <row r="27" spans="1:27" ht="23.25" customHeight="1" thickBot="1">
      <c r="A27" s="241">
        <f t="shared" si="2"/>
        <v>18</v>
      </c>
      <c r="B27" s="247" t="s">
        <v>68</v>
      </c>
      <c r="C27" s="220" t="s">
        <v>41</v>
      </c>
      <c r="D27" s="531"/>
      <c r="E27" s="521"/>
      <c r="F27" s="383"/>
      <c r="G27" s="383"/>
      <c r="H27" s="383"/>
      <c r="I27" s="383"/>
      <c r="J27" s="475"/>
      <c r="K27" s="383"/>
      <c r="L27" s="383"/>
      <c r="M27" s="383"/>
      <c r="N27" s="383"/>
      <c r="O27" s="383"/>
      <c r="P27" s="383"/>
      <c r="Q27" s="383"/>
      <c r="R27" s="383"/>
      <c r="S27" s="383"/>
      <c r="T27" s="383"/>
      <c r="U27" s="383"/>
      <c r="V27" s="182">
        <f t="shared" si="0"/>
        <v>0</v>
      </c>
      <c r="W27" s="182">
        <f t="shared" si="1"/>
        <v>0</v>
      </c>
      <c r="X27" s="182"/>
      <c r="Y27" s="175"/>
      <c r="Z27" s="171"/>
      <c r="AA27" s="171"/>
    </row>
    <row r="28" spans="1:27" ht="21" customHeight="1" thickBot="1">
      <c r="A28" s="241">
        <f t="shared" si="2"/>
        <v>19</v>
      </c>
      <c r="B28" s="178" t="s">
        <v>43</v>
      </c>
      <c r="C28" s="233" t="s">
        <v>19</v>
      </c>
      <c r="D28" s="529">
        <v>0.57</v>
      </c>
      <c r="E28" s="530">
        <v>0</v>
      </c>
      <c r="F28" s="192">
        <v>0.5</v>
      </c>
      <c r="G28" s="192"/>
      <c r="H28" s="192">
        <f>F28-G28</f>
        <v>0.5</v>
      </c>
      <c r="I28" s="386"/>
      <c r="J28" s="476"/>
      <c r="K28" s="386"/>
      <c r="L28" s="386"/>
      <c r="M28" s="386"/>
      <c r="N28" s="386">
        <v>0.5</v>
      </c>
      <c r="O28" s="386"/>
      <c r="P28" s="386"/>
      <c r="Q28" s="386"/>
      <c r="R28" s="386"/>
      <c r="S28" s="386"/>
      <c r="T28" s="386"/>
      <c r="U28" s="386"/>
      <c r="V28" s="182">
        <f t="shared" si="0"/>
        <v>0.5</v>
      </c>
      <c r="W28" s="182">
        <f t="shared" si="1"/>
        <v>0</v>
      </c>
      <c r="X28" s="182"/>
      <c r="Y28" s="175"/>
      <c r="Z28" s="171"/>
      <c r="AA28" s="171"/>
    </row>
    <row r="29" spans="1:27" ht="25.5" customHeight="1" thickBot="1">
      <c r="A29" s="241">
        <f t="shared" si="2"/>
        <v>20</v>
      </c>
      <c r="B29" s="247" t="s">
        <v>44</v>
      </c>
      <c r="C29" s="220" t="s">
        <v>45</v>
      </c>
      <c r="D29" s="635"/>
      <c r="E29" s="636"/>
      <c r="F29" s="383"/>
      <c r="G29" s="383"/>
      <c r="H29" s="383"/>
      <c r="I29" s="383"/>
      <c r="J29" s="475"/>
      <c r="K29" s="383"/>
      <c r="L29" s="383"/>
      <c r="M29" s="383"/>
      <c r="N29" s="383"/>
      <c r="O29" s="383"/>
      <c r="P29" s="383"/>
      <c r="Q29" s="383"/>
      <c r="R29" s="383"/>
      <c r="S29" s="383"/>
      <c r="T29" s="383"/>
      <c r="U29" s="383"/>
      <c r="V29" s="182">
        <f t="shared" si="0"/>
        <v>0</v>
      </c>
      <c r="W29" s="182">
        <f t="shared" si="1"/>
        <v>0</v>
      </c>
      <c r="X29" s="182"/>
      <c r="Y29" s="175"/>
      <c r="Z29" s="171"/>
      <c r="AA29" s="171"/>
    </row>
    <row r="30" spans="1:27" ht="27" customHeight="1" thickBot="1">
      <c r="A30" s="241">
        <f t="shared" si="2"/>
        <v>21</v>
      </c>
      <c r="B30" s="247" t="s">
        <v>46</v>
      </c>
      <c r="C30" s="220" t="s">
        <v>19</v>
      </c>
      <c r="D30" s="635"/>
      <c r="E30" s="635"/>
      <c r="F30" s="637"/>
      <c r="G30" s="383"/>
      <c r="H30" s="383"/>
      <c r="I30" s="388"/>
      <c r="J30" s="475"/>
      <c r="K30" s="383"/>
      <c r="L30" s="383"/>
      <c r="M30" s="383"/>
      <c r="N30" s="383"/>
      <c r="O30" s="383"/>
      <c r="P30" s="383"/>
      <c r="Q30" s="383"/>
      <c r="R30" s="383"/>
      <c r="S30" s="383"/>
      <c r="T30" s="383"/>
      <c r="U30" s="383"/>
      <c r="V30" s="182">
        <f t="shared" si="0"/>
        <v>0</v>
      </c>
      <c r="W30" s="182">
        <f t="shared" si="1"/>
        <v>0</v>
      </c>
      <c r="X30" s="182"/>
      <c r="Y30" s="175"/>
      <c r="Z30" s="171"/>
      <c r="AA30" s="171"/>
    </row>
    <row r="31" spans="1:27" ht="19.5" customHeight="1" thickBot="1">
      <c r="A31" s="241">
        <f t="shared" si="2"/>
        <v>22</v>
      </c>
      <c r="B31" s="247" t="s">
        <v>47</v>
      </c>
      <c r="C31" s="220" t="s">
        <v>19</v>
      </c>
      <c r="D31" s="635"/>
      <c r="E31" s="636"/>
      <c r="F31" s="638"/>
      <c r="G31" s="381"/>
      <c r="H31" s="381"/>
      <c r="I31" s="381"/>
      <c r="J31" s="474"/>
      <c r="K31" s="381"/>
      <c r="L31" s="381"/>
      <c r="M31" s="381"/>
      <c r="N31" s="381"/>
      <c r="O31" s="381"/>
      <c r="P31" s="381"/>
      <c r="Q31" s="381"/>
      <c r="R31" s="381"/>
      <c r="S31" s="381"/>
      <c r="T31" s="381"/>
      <c r="U31" s="381"/>
      <c r="V31" s="182">
        <f t="shared" si="0"/>
        <v>0</v>
      </c>
      <c r="W31" s="182">
        <f t="shared" si="1"/>
        <v>0</v>
      </c>
      <c r="X31" s="182"/>
      <c r="Y31" s="175"/>
      <c r="Z31" s="171"/>
      <c r="AA31" s="171"/>
    </row>
    <row r="32" spans="1:27" ht="22.5" customHeight="1" thickBot="1">
      <c r="A32" s="241">
        <f t="shared" si="2"/>
        <v>23</v>
      </c>
      <c r="B32" s="247" t="s">
        <v>48</v>
      </c>
      <c r="C32" s="220" t="s">
        <v>41</v>
      </c>
      <c r="D32" s="635">
        <v>5</v>
      </c>
      <c r="E32" s="636">
        <v>5</v>
      </c>
      <c r="F32" s="639"/>
      <c r="G32" s="383"/>
      <c r="H32" s="383"/>
      <c r="I32" s="383"/>
      <c r="J32" s="475"/>
      <c r="K32" s="383"/>
      <c r="L32" s="383"/>
      <c r="M32" s="383"/>
      <c r="N32" s="383"/>
      <c r="O32" s="383"/>
      <c r="P32" s="383"/>
      <c r="Q32" s="383"/>
      <c r="R32" s="383"/>
      <c r="S32" s="383"/>
      <c r="T32" s="383"/>
      <c r="U32" s="383"/>
      <c r="V32" s="182">
        <f t="shared" si="0"/>
        <v>0</v>
      </c>
      <c r="W32" s="182">
        <f t="shared" si="1"/>
        <v>0</v>
      </c>
      <c r="X32" s="182"/>
      <c r="Y32" s="171"/>
      <c r="Z32" s="171"/>
      <c r="AA32" s="171"/>
    </row>
    <row r="33" spans="1:24" ht="15">
      <c r="A33" s="6"/>
      <c r="B33" s="7"/>
      <c r="C33" s="8"/>
      <c r="D33" s="8"/>
      <c r="E33" s="8"/>
      <c r="F33" s="9"/>
      <c r="G33" s="10"/>
      <c r="H33" s="10"/>
      <c r="I33" s="9"/>
      <c r="J33" s="11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15">
      <c r="A34" s="6"/>
      <c r="B34" s="7"/>
      <c r="C34" s="8"/>
      <c r="D34" s="8"/>
      <c r="E34" s="8"/>
      <c r="F34" s="9"/>
      <c r="G34" s="10"/>
      <c r="H34" s="10"/>
      <c r="I34" s="9"/>
      <c r="J34" s="11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5">
      <c r="A35" s="6"/>
      <c r="B35" s="732"/>
      <c r="C35" s="732"/>
      <c r="D35" s="732"/>
      <c r="E35" s="732"/>
      <c r="F35" s="732"/>
      <c r="G35" s="732"/>
      <c r="H35" s="732"/>
      <c r="I35" s="9"/>
      <c r="J35" s="11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ht="15">
      <c r="A36" s="6"/>
      <c r="B36" s="7"/>
      <c r="C36" s="8"/>
      <c r="F36" s="9"/>
      <c r="G36" s="10"/>
      <c r="H36" s="10"/>
      <c r="I36" s="9"/>
      <c r="J36" s="11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</sheetData>
  <sheetProtection/>
  <mergeCells count="11">
    <mergeCell ref="I5:J5"/>
    <mergeCell ref="D4:D5"/>
    <mergeCell ref="E4:E5"/>
    <mergeCell ref="B35:H35"/>
    <mergeCell ref="A1:AA2"/>
    <mergeCell ref="A4:A5"/>
    <mergeCell ref="B4:B5"/>
    <mergeCell ref="C4:C5"/>
    <mergeCell ref="F4:G4"/>
    <mergeCell ref="H4:H5"/>
    <mergeCell ref="I4:U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6"/>
  <sheetViews>
    <sheetView zoomScalePageLayoutView="0" workbookViewId="0" topLeftCell="A4">
      <selection activeCell="J7" sqref="J7:J32"/>
    </sheetView>
  </sheetViews>
  <sheetFormatPr defaultColWidth="9.00390625" defaultRowHeight="12.75"/>
  <cols>
    <col min="1" max="1" width="4.00390625" style="0" customWidth="1"/>
    <col min="2" max="2" width="36.125" style="0" customWidth="1"/>
    <col min="4" max="4" width="19.75390625" style="0" customWidth="1"/>
    <col min="5" max="5" width="17.375" style="0" customWidth="1"/>
    <col min="6" max="6" width="10.25390625" style="0" hidden="1" customWidth="1"/>
    <col min="7" max="7" width="9.875" style="0" hidden="1" customWidth="1"/>
    <col min="8" max="8" width="10.125" style="0" customWidth="1"/>
    <col min="13" max="13" width="10.00390625" style="0" customWidth="1"/>
    <col min="17" max="17" width="8.375" style="0" customWidth="1"/>
    <col min="18" max="18" width="8.625" style="0" customWidth="1"/>
    <col min="21" max="21" width="9.75390625" style="0" customWidth="1"/>
  </cols>
  <sheetData>
    <row r="1" spans="1:27" ht="13.5" customHeight="1">
      <c r="A1" s="733" t="s">
        <v>76</v>
      </c>
      <c r="B1" s="733"/>
      <c r="C1" s="733"/>
      <c r="D1" s="733"/>
      <c r="E1" s="733"/>
      <c r="F1" s="733"/>
      <c r="G1" s="733"/>
      <c r="H1" s="733"/>
      <c r="I1" s="733"/>
      <c r="J1" s="733"/>
      <c r="K1" s="733"/>
      <c r="L1" s="733"/>
      <c r="M1" s="733"/>
      <c r="N1" s="733"/>
      <c r="O1" s="733"/>
      <c r="P1" s="733"/>
      <c r="Q1" s="733"/>
      <c r="R1" s="733"/>
      <c r="S1" s="733"/>
      <c r="T1" s="733"/>
      <c r="U1" s="733"/>
      <c r="V1" s="733"/>
      <c r="W1" s="733"/>
      <c r="X1" s="733"/>
      <c r="Y1" s="733"/>
      <c r="Z1" s="733"/>
      <c r="AA1" s="733"/>
    </row>
    <row r="2" spans="1:27" ht="33" customHeight="1">
      <c r="A2" s="733"/>
      <c r="B2" s="733"/>
      <c r="C2" s="733"/>
      <c r="D2" s="733"/>
      <c r="E2" s="733"/>
      <c r="F2" s="733"/>
      <c r="G2" s="733"/>
      <c r="H2" s="733"/>
      <c r="I2" s="733"/>
      <c r="J2" s="733"/>
      <c r="K2" s="733"/>
      <c r="L2" s="733"/>
      <c r="M2" s="733"/>
      <c r="N2" s="733"/>
      <c r="O2" s="733"/>
      <c r="P2" s="733"/>
      <c r="Q2" s="733"/>
      <c r="R2" s="733"/>
      <c r="S2" s="733"/>
      <c r="T2" s="733"/>
      <c r="U2" s="733"/>
      <c r="V2" s="733"/>
      <c r="W2" s="733"/>
      <c r="X2" s="733"/>
      <c r="Y2" s="733"/>
      <c r="Z2" s="733"/>
      <c r="AA2" s="733"/>
    </row>
    <row r="3" spans="1:27" ht="14.25" customHeight="1" thickBot="1">
      <c r="A3" s="171"/>
      <c r="B3" s="171"/>
      <c r="C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519" t="s">
        <v>81</v>
      </c>
      <c r="R3" s="171"/>
      <c r="S3" s="520" t="s">
        <v>85</v>
      </c>
      <c r="T3" s="171"/>
      <c r="U3" s="171"/>
      <c r="V3" s="171"/>
      <c r="W3" s="171"/>
      <c r="X3" s="171"/>
      <c r="Y3" s="171"/>
      <c r="Z3" s="171"/>
      <c r="AA3" s="171"/>
    </row>
    <row r="4" spans="1:27" ht="24" customHeight="1" thickBot="1">
      <c r="A4" s="734" t="s">
        <v>6</v>
      </c>
      <c r="B4" s="735" t="s">
        <v>7</v>
      </c>
      <c r="C4" s="734" t="s">
        <v>8</v>
      </c>
      <c r="D4" s="730" t="s">
        <v>83</v>
      </c>
      <c r="E4" s="730" t="s">
        <v>84</v>
      </c>
      <c r="F4" s="734" t="s">
        <v>50</v>
      </c>
      <c r="G4" s="734"/>
      <c r="H4" s="730" t="s">
        <v>82</v>
      </c>
      <c r="I4" s="736" t="s">
        <v>9</v>
      </c>
      <c r="J4" s="736"/>
      <c r="K4" s="736"/>
      <c r="L4" s="736"/>
      <c r="M4" s="736"/>
      <c r="N4" s="736"/>
      <c r="O4" s="736"/>
      <c r="P4" s="736"/>
      <c r="Q4" s="736"/>
      <c r="R4" s="736"/>
      <c r="S4" s="736"/>
      <c r="T4" s="736"/>
      <c r="U4" s="736"/>
      <c r="V4" s="172"/>
      <c r="W4" s="172"/>
      <c r="X4" s="172"/>
      <c r="Y4" s="171"/>
      <c r="Z4" s="171"/>
      <c r="AA4" s="171"/>
    </row>
    <row r="5" spans="1:27" ht="23.25" customHeight="1" thickBot="1">
      <c r="A5" s="734"/>
      <c r="B5" s="735"/>
      <c r="C5" s="734"/>
      <c r="D5" s="731"/>
      <c r="E5" s="731"/>
      <c r="F5" s="176" t="s">
        <v>49</v>
      </c>
      <c r="G5" s="392" t="s">
        <v>10</v>
      </c>
      <c r="H5" s="731"/>
      <c r="I5" s="737" t="s">
        <v>4</v>
      </c>
      <c r="J5" s="738"/>
      <c r="K5" s="176" t="s">
        <v>3</v>
      </c>
      <c r="L5" s="392" t="s">
        <v>0</v>
      </c>
      <c r="M5" s="176" t="s">
        <v>1</v>
      </c>
      <c r="N5" s="392" t="s">
        <v>5</v>
      </c>
      <c r="O5" s="176" t="s">
        <v>11</v>
      </c>
      <c r="P5" s="392" t="s">
        <v>12</v>
      </c>
      <c r="Q5" s="176" t="s">
        <v>13</v>
      </c>
      <c r="R5" s="392" t="s">
        <v>14</v>
      </c>
      <c r="S5" s="393" t="s">
        <v>15</v>
      </c>
      <c r="T5" s="394" t="s">
        <v>16</v>
      </c>
      <c r="U5" s="394" t="s">
        <v>17</v>
      </c>
      <c r="V5" s="174"/>
      <c r="W5" s="174"/>
      <c r="X5" s="174"/>
      <c r="Y5" s="175"/>
      <c r="Z5" s="171"/>
      <c r="AA5" s="171"/>
    </row>
    <row r="6" spans="1:27" ht="15.75" thickBot="1">
      <c r="A6" s="176"/>
      <c r="B6" s="176"/>
      <c r="C6" s="176"/>
      <c r="D6" s="524"/>
      <c r="E6" s="19"/>
      <c r="F6" s="395"/>
      <c r="G6" s="396"/>
      <c r="H6" s="396"/>
      <c r="I6" s="415" t="s">
        <v>49</v>
      </c>
      <c r="J6" s="474" t="s">
        <v>10</v>
      </c>
      <c r="K6" s="397"/>
      <c r="L6" s="398"/>
      <c r="M6" s="397"/>
      <c r="N6" s="398"/>
      <c r="O6" s="397"/>
      <c r="P6" s="398"/>
      <c r="Q6" s="397"/>
      <c r="R6" s="398"/>
      <c r="S6" s="397"/>
      <c r="T6" s="397"/>
      <c r="U6" s="398"/>
      <c r="V6" s="174"/>
      <c r="W6" s="174"/>
      <c r="X6" s="174"/>
      <c r="Y6" s="175"/>
      <c r="Z6" s="171"/>
      <c r="AA6" s="171"/>
    </row>
    <row r="7" spans="1:27" ht="21.75" customHeight="1" thickBot="1">
      <c r="A7" s="233">
        <v>1</v>
      </c>
      <c r="B7" s="697" t="s">
        <v>62</v>
      </c>
      <c r="C7" s="698" t="s">
        <v>19</v>
      </c>
      <c r="D7" s="623">
        <f>6!D7+8!D7</f>
        <v>1587.2489999999998</v>
      </c>
      <c r="E7" s="623">
        <f>6!E7+8!E7</f>
        <v>636.56</v>
      </c>
      <c r="F7" s="623">
        <f>6!F7+8!F7</f>
        <v>727.658</v>
      </c>
      <c r="G7" s="623">
        <f>6!G7+8!G7</f>
        <v>48.134</v>
      </c>
      <c r="H7" s="623">
        <f>6!H7+8!H7</f>
        <v>679.524</v>
      </c>
      <c r="I7" s="623">
        <f>6!I7+8!I7</f>
        <v>107.63</v>
      </c>
      <c r="J7" s="624">
        <f>6!J7+8!J7</f>
        <v>8.59</v>
      </c>
      <c r="K7" s="623">
        <f>6!K7+8!K7</f>
        <v>81.82</v>
      </c>
      <c r="L7" s="623">
        <f>6!L7+8!L7</f>
        <v>126.82</v>
      </c>
      <c r="M7" s="623">
        <f>6!M7+8!M7</f>
        <v>136.82</v>
      </c>
      <c r="N7" s="623">
        <f>6!N7+8!N7</f>
        <v>81.82</v>
      </c>
      <c r="O7" s="623">
        <f>6!O7+8!O7</f>
        <v>54</v>
      </c>
      <c r="P7" s="623">
        <f>6!P7+8!P7</f>
        <v>54</v>
      </c>
      <c r="Q7" s="623">
        <f>6!Q7+8!Q7</f>
        <v>36.589999999999996</v>
      </c>
      <c r="R7" s="623">
        <f>6!R7+8!R7</f>
        <v>0</v>
      </c>
      <c r="S7" s="623">
        <f>6!S7+8!S7</f>
        <v>0</v>
      </c>
      <c r="T7" s="623">
        <f>6!T7+8!T7</f>
        <v>0</v>
      </c>
      <c r="U7" s="702">
        <f>6!U7+8!U7</f>
        <v>0</v>
      </c>
      <c r="V7" s="181">
        <f>SUM(I7:U7)</f>
        <v>688.09</v>
      </c>
      <c r="W7" s="182">
        <f>V7-H7</f>
        <v>8.566000000000031</v>
      </c>
      <c r="X7" s="183">
        <f>1020.81-88.25-243.16</f>
        <v>689.4</v>
      </c>
      <c r="Y7" s="175"/>
      <c r="Z7" s="171"/>
      <c r="AA7" s="171"/>
    </row>
    <row r="8" spans="1:27" ht="21" customHeight="1" thickBot="1">
      <c r="A8" s="220"/>
      <c r="B8" s="247" t="s">
        <v>63</v>
      </c>
      <c r="C8" s="220" t="s">
        <v>19</v>
      </c>
      <c r="D8" s="622">
        <f>6!D8+8!D8</f>
        <v>684.2</v>
      </c>
      <c r="E8" s="622">
        <f>6!E8+8!E8</f>
        <v>250.106</v>
      </c>
      <c r="F8" s="622">
        <f>6!F8+8!F8</f>
        <v>348.419</v>
      </c>
      <c r="G8" s="622">
        <f>6!G8+8!G8</f>
        <v>26.233</v>
      </c>
      <c r="H8" s="622">
        <f>6!H8+8!H8</f>
        <v>322.18600000000004</v>
      </c>
      <c r="I8" s="622">
        <f>6!I8+8!I8</f>
        <v>45</v>
      </c>
      <c r="J8" s="624">
        <f>6!J8+8!J8</f>
        <v>0</v>
      </c>
      <c r="K8" s="622">
        <f>6!K8+8!K8</f>
        <v>45</v>
      </c>
      <c r="L8" s="622">
        <f>6!L8+8!L8</f>
        <v>45</v>
      </c>
      <c r="M8" s="622">
        <f>6!M8+8!M8</f>
        <v>55</v>
      </c>
      <c r="N8" s="622">
        <f>6!N8+8!N8</f>
        <v>50</v>
      </c>
      <c r="O8" s="622">
        <f>6!O8+8!O8</f>
        <v>34</v>
      </c>
      <c r="P8" s="622">
        <f>6!P8+8!P8</f>
        <v>34</v>
      </c>
      <c r="Q8" s="622">
        <f>6!Q8+8!Q8</f>
        <v>14.19</v>
      </c>
      <c r="R8" s="622">
        <f>6!R8+8!R8</f>
        <v>0</v>
      </c>
      <c r="S8" s="622">
        <f>6!S8+8!S8</f>
        <v>0</v>
      </c>
      <c r="T8" s="622">
        <f>6!T8+8!T8</f>
        <v>0</v>
      </c>
      <c r="U8" s="703">
        <f>6!U8+8!U8</f>
        <v>0</v>
      </c>
      <c r="V8" s="182">
        <f aca="true" t="shared" si="0" ref="V8:V32">SUM(I8:U8)</f>
        <v>322.19</v>
      </c>
      <c r="W8" s="183">
        <f aca="true" t="shared" si="1" ref="W8:W32">V8-H8</f>
        <v>0.003999999999962256</v>
      </c>
      <c r="X8" s="182"/>
      <c r="Y8" s="175"/>
      <c r="Z8" s="171"/>
      <c r="AA8" s="171"/>
    </row>
    <row r="9" spans="1:27" ht="24" customHeight="1" thickBot="1">
      <c r="A9" s="220"/>
      <c r="B9" s="247" t="s">
        <v>64</v>
      </c>
      <c r="C9" s="220" t="s">
        <v>19</v>
      </c>
      <c r="D9" s="622">
        <f>6!D9+8!D9</f>
        <v>775.1679999999999</v>
      </c>
      <c r="E9" s="622">
        <f>6!E9+8!E9</f>
        <v>386.453</v>
      </c>
      <c r="F9" s="622">
        <f>6!F9+8!F9</f>
        <v>256.806</v>
      </c>
      <c r="G9" s="622">
        <f>6!G9+8!G9</f>
        <v>21.901</v>
      </c>
      <c r="H9" s="622">
        <f>6!H9+8!H9</f>
        <v>234.90499999999997</v>
      </c>
      <c r="I9" s="622">
        <f>6!I9+8!I9</f>
        <v>62.63</v>
      </c>
      <c r="J9" s="624">
        <f>6!J9+8!J9</f>
        <v>8.59</v>
      </c>
      <c r="K9" s="622">
        <f>6!K9+8!K9</f>
        <v>36.82</v>
      </c>
      <c r="L9" s="622">
        <f>6!L9+8!L9</f>
        <v>81.82</v>
      </c>
      <c r="M9" s="622">
        <f>6!M9+8!M9</f>
        <v>81.82</v>
      </c>
      <c r="N9" s="622">
        <f>6!N9+8!N9</f>
        <v>31.82</v>
      </c>
      <c r="O9" s="622">
        <f>6!O9+8!O9</f>
        <v>20</v>
      </c>
      <c r="P9" s="622">
        <f>6!P9+8!P9</f>
        <v>20</v>
      </c>
      <c r="Q9" s="622">
        <f>6!Q9+8!Q9</f>
        <v>22.4</v>
      </c>
      <c r="R9" s="622">
        <f>6!R9+8!R9</f>
        <v>0</v>
      </c>
      <c r="S9" s="622">
        <f>6!S9+8!S9</f>
        <v>0</v>
      </c>
      <c r="T9" s="622">
        <f>6!T9+8!T9</f>
        <v>0</v>
      </c>
      <c r="U9" s="703">
        <f>6!U9+8!U9</f>
        <v>0</v>
      </c>
      <c r="V9" s="182">
        <f t="shared" si="0"/>
        <v>365.8999999999999</v>
      </c>
      <c r="W9" s="183">
        <f t="shared" si="1"/>
        <v>130.99499999999995</v>
      </c>
      <c r="X9" s="183">
        <f>406.1-X7</f>
        <v>-283.29999999999995</v>
      </c>
      <c r="Y9" s="175"/>
      <c r="Z9" s="171"/>
      <c r="AA9" s="171"/>
    </row>
    <row r="10" spans="1:27" ht="22.5" customHeight="1" thickBot="1">
      <c r="A10" s="220"/>
      <c r="B10" s="247" t="s">
        <v>65</v>
      </c>
      <c r="C10" s="220" t="s">
        <v>19</v>
      </c>
      <c r="D10" s="622">
        <f>6!D10+8!D10</f>
        <v>251.601</v>
      </c>
      <c r="E10" s="622">
        <f>6!E10+8!E10</f>
        <v>0</v>
      </c>
      <c r="F10" s="622">
        <f>6!F10+8!F10</f>
        <v>246.149</v>
      </c>
      <c r="G10" s="622">
        <f>6!G10+8!G10</f>
        <v>0</v>
      </c>
      <c r="H10" s="622">
        <f>6!H10+8!H10</f>
        <v>246.149</v>
      </c>
      <c r="I10" s="622">
        <f>6!I10+8!I10</f>
        <v>0</v>
      </c>
      <c r="J10" s="624">
        <f>6!J10+8!J10</f>
        <v>2.7215</v>
      </c>
      <c r="K10" s="622">
        <f>6!K10+8!K10</f>
        <v>0</v>
      </c>
      <c r="L10" s="622">
        <f>6!L10+8!L10</f>
        <v>50.8</v>
      </c>
      <c r="M10" s="622">
        <f>6!M10+8!M10</f>
        <v>50.8</v>
      </c>
      <c r="N10" s="622">
        <f>6!N10+8!N10</f>
        <v>50.8</v>
      </c>
      <c r="O10" s="622">
        <f>6!O10+8!O10</f>
        <v>51.31599999999999</v>
      </c>
      <c r="P10" s="622">
        <f>6!P10+8!P10</f>
        <v>20</v>
      </c>
      <c r="Q10" s="622">
        <f>6!Q10+8!Q10</f>
        <v>22.4</v>
      </c>
      <c r="R10" s="622">
        <f>6!R10+8!R10</f>
        <v>0</v>
      </c>
      <c r="S10" s="622">
        <f>6!S10+8!S10</f>
        <v>0</v>
      </c>
      <c r="T10" s="622">
        <f>6!T10+8!T10</f>
        <v>0</v>
      </c>
      <c r="U10" s="703">
        <f>6!U10+8!U10</f>
        <v>0</v>
      </c>
      <c r="V10" s="182">
        <f t="shared" si="0"/>
        <v>248.83749999999995</v>
      </c>
      <c r="W10" s="181">
        <f t="shared" si="1"/>
        <v>2.688499999999948</v>
      </c>
      <c r="X10" s="182"/>
      <c r="Y10" s="175"/>
      <c r="Z10" s="171"/>
      <c r="AA10" s="171"/>
    </row>
    <row r="11" spans="1:27" ht="22.5" customHeight="1" thickBot="1">
      <c r="A11" s="400">
        <v>2</v>
      </c>
      <c r="B11" s="401" t="s">
        <v>23</v>
      </c>
      <c r="C11" s="400" t="s">
        <v>19</v>
      </c>
      <c r="D11" s="622">
        <f>6!D11+8!D11</f>
        <v>118.23</v>
      </c>
      <c r="E11" s="622">
        <f>6!E11+8!E11</f>
        <v>46.5</v>
      </c>
      <c r="F11" s="622">
        <f>6!F11+8!F11</f>
        <v>49.559</v>
      </c>
      <c r="G11" s="622">
        <f>6!G11+8!G11</f>
        <v>5.337</v>
      </c>
      <c r="H11" s="622">
        <f>6!H11+8!H11</f>
        <v>44.221999999999994</v>
      </c>
      <c r="I11" s="622">
        <f>6!I11+8!I11</f>
        <v>0</v>
      </c>
      <c r="J11" s="624">
        <f>6!J11+8!J11</f>
        <v>0</v>
      </c>
      <c r="K11" s="622">
        <f>6!K11+8!K11</f>
        <v>0</v>
      </c>
      <c r="L11" s="622">
        <f>6!L11+8!L11</f>
        <v>20</v>
      </c>
      <c r="M11" s="622">
        <f>6!M11+8!M11</f>
        <v>20</v>
      </c>
      <c r="N11" s="622">
        <f>6!N11+8!N11</f>
        <v>4.221999999999994</v>
      </c>
      <c r="O11" s="622">
        <f>6!O11+8!O11</f>
        <v>0</v>
      </c>
      <c r="P11" s="622">
        <f>6!P11+8!P11</f>
        <v>0</v>
      </c>
      <c r="Q11" s="622">
        <f>6!Q11+8!Q11</f>
        <v>0</v>
      </c>
      <c r="R11" s="622">
        <f>6!R11+8!R11</f>
        <v>0</v>
      </c>
      <c r="S11" s="622">
        <f>6!S11+8!S11</f>
        <v>0</v>
      </c>
      <c r="T11" s="622">
        <f>6!T11+8!T11</f>
        <v>0</v>
      </c>
      <c r="U11" s="703">
        <f>6!U11+8!U11</f>
        <v>0</v>
      </c>
      <c r="V11" s="182">
        <f t="shared" si="0"/>
        <v>44.221999999999994</v>
      </c>
      <c r="W11" s="182">
        <f t="shared" si="1"/>
        <v>0</v>
      </c>
      <c r="X11" s="182"/>
      <c r="Y11" s="175"/>
      <c r="Z11" s="171"/>
      <c r="AA11" s="171"/>
    </row>
    <row r="12" spans="1:27" ht="22.5" customHeight="1" thickBot="1">
      <c r="A12" s="233">
        <v>3</v>
      </c>
      <c r="B12" s="178" t="s">
        <v>66</v>
      </c>
      <c r="C12" s="698" t="s">
        <v>19</v>
      </c>
      <c r="D12" s="623">
        <f>6!D12+8!D12</f>
        <v>1294.95934</v>
      </c>
      <c r="E12" s="623">
        <f>6!E12+8!E12</f>
        <v>527.96</v>
      </c>
      <c r="F12" s="623">
        <f>6!F12+8!F12</f>
        <v>790.449</v>
      </c>
      <c r="G12" s="623">
        <f>6!G12+8!G12</f>
        <v>165</v>
      </c>
      <c r="H12" s="623">
        <f>6!H12+8!H12</f>
        <v>625.449</v>
      </c>
      <c r="I12" s="623">
        <f>6!I12+8!I12</f>
        <v>165</v>
      </c>
      <c r="J12" s="624">
        <f>6!J12+8!J12</f>
        <v>97.395</v>
      </c>
      <c r="K12" s="623">
        <f>6!K12+8!K12</f>
        <v>165</v>
      </c>
      <c r="L12" s="623">
        <f>6!L12+8!L12</f>
        <v>175</v>
      </c>
      <c r="M12" s="623">
        <f>6!M12+8!M12</f>
        <v>117</v>
      </c>
      <c r="N12" s="623">
        <f>6!N12+8!N12</f>
        <v>3.4490000000000016</v>
      </c>
      <c r="O12" s="623">
        <f>6!O12+8!O12</f>
        <v>0</v>
      </c>
      <c r="P12" s="623">
        <f>6!P12+8!P12</f>
        <v>0</v>
      </c>
      <c r="Q12" s="623">
        <f>6!Q12+8!Q12</f>
        <v>0</v>
      </c>
      <c r="R12" s="623">
        <f>6!R12+8!R12</f>
        <v>0</v>
      </c>
      <c r="S12" s="623">
        <f>6!S12+8!S12</f>
        <v>0</v>
      </c>
      <c r="T12" s="623">
        <f>6!T12+8!T12</f>
        <v>0</v>
      </c>
      <c r="U12" s="702">
        <f>6!U12+8!U12</f>
        <v>0</v>
      </c>
      <c r="V12" s="182">
        <f t="shared" si="0"/>
        <v>722.8439999999999</v>
      </c>
      <c r="W12" s="182">
        <f t="shared" si="1"/>
        <v>97.39499999999998</v>
      </c>
      <c r="X12" s="182"/>
      <c r="Y12" s="175"/>
      <c r="Z12" s="171"/>
      <c r="AA12" s="171"/>
    </row>
    <row r="13" spans="1:27" ht="20.25" customHeight="1" thickBot="1">
      <c r="A13" s="241">
        <f>1+A12</f>
        <v>4</v>
      </c>
      <c r="B13" s="188" t="s">
        <v>25</v>
      </c>
      <c r="C13" s="241" t="s">
        <v>19</v>
      </c>
      <c r="D13" s="622">
        <f>6!D13+8!D13</f>
        <v>653.812</v>
      </c>
      <c r="E13" s="622">
        <f>6!E13+8!E13</f>
        <v>158</v>
      </c>
      <c r="F13" s="622">
        <f>6!F13+8!F13</f>
        <v>1107.0990000000002</v>
      </c>
      <c r="G13" s="622">
        <f>6!G13+8!G13</f>
        <v>47.178</v>
      </c>
      <c r="H13" s="622">
        <f>6!H13+8!H13</f>
        <v>1059.921</v>
      </c>
      <c r="I13" s="622">
        <f>6!I13+8!I13</f>
        <v>400</v>
      </c>
      <c r="J13" s="624">
        <f>6!J13+8!J13</f>
        <v>0</v>
      </c>
      <c r="K13" s="622">
        <f>6!K13+8!K13</f>
        <v>200</v>
      </c>
      <c r="L13" s="622">
        <f>6!L13+8!L13</f>
        <v>200</v>
      </c>
      <c r="M13" s="622">
        <f>6!M13+8!M13</f>
        <v>202</v>
      </c>
      <c r="N13" s="622">
        <f>6!N13+8!N13</f>
        <v>52.00000000000023</v>
      </c>
      <c r="O13" s="622">
        <f>6!O13+8!O13</f>
        <v>2</v>
      </c>
      <c r="P13" s="622">
        <f>6!P13+8!P13</f>
        <v>2</v>
      </c>
      <c r="Q13" s="622">
        <f>6!Q13+8!Q13</f>
        <v>1.921</v>
      </c>
      <c r="R13" s="622">
        <f>6!R13+8!R13</f>
        <v>0</v>
      </c>
      <c r="S13" s="622">
        <f>6!S13+8!S13</f>
        <v>0</v>
      </c>
      <c r="T13" s="622">
        <f>6!T13+8!T13</f>
        <v>0</v>
      </c>
      <c r="U13" s="703">
        <f>6!U13+8!U13</f>
        <v>0</v>
      </c>
      <c r="V13" s="182">
        <f t="shared" si="0"/>
        <v>1059.9210000000003</v>
      </c>
      <c r="W13" s="182">
        <f t="shared" si="1"/>
        <v>0</v>
      </c>
      <c r="X13" s="182"/>
      <c r="Y13" s="175"/>
      <c r="Z13" s="171"/>
      <c r="AA13" s="171"/>
    </row>
    <row r="14" spans="1:27" ht="19.5" customHeight="1" thickBot="1">
      <c r="A14" s="241">
        <f aca="true" t="shared" si="2" ref="A14:A32">1+A13</f>
        <v>5</v>
      </c>
      <c r="B14" s="697" t="s">
        <v>67</v>
      </c>
      <c r="C14" s="698" t="s">
        <v>19</v>
      </c>
      <c r="D14" s="623">
        <f>6!D14+8!D14</f>
        <v>25.21</v>
      </c>
      <c r="E14" s="623">
        <f>6!E14+8!E14</f>
        <v>2.334</v>
      </c>
      <c r="F14" s="623">
        <f>6!F14+8!F14</f>
        <v>22.876</v>
      </c>
      <c r="G14" s="623">
        <f>6!G14+8!G14</f>
        <v>0.549</v>
      </c>
      <c r="H14" s="623">
        <f>6!H14+8!H14</f>
        <v>22.327</v>
      </c>
      <c r="I14" s="623">
        <f>6!I14+8!I14</f>
        <v>0</v>
      </c>
      <c r="J14" s="624">
        <f>6!J14+8!J14</f>
        <v>0</v>
      </c>
      <c r="K14" s="623">
        <f>6!K14+8!K14</f>
        <v>0</v>
      </c>
      <c r="L14" s="623">
        <f>6!L14+8!L14</f>
        <v>0</v>
      </c>
      <c r="M14" s="623">
        <f>6!M14+8!M14</f>
        <v>3.7</v>
      </c>
      <c r="N14" s="623">
        <f>6!N14+8!N14</f>
        <v>4.1</v>
      </c>
      <c r="O14" s="623">
        <f>6!O14+8!O14</f>
        <v>4.1</v>
      </c>
      <c r="P14" s="623">
        <f>6!P14+8!P14</f>
        <v>3.7</v>
      </c>
      <c r="Q14" s="623">
        <f>6!Q14+8!Q14</f>
        <v>3.7</v>
      </c>
      <c r="R14" s="623">
        <f>6!R14+8!R14</f>
        <v>3.0270000000000006</v>
      </c>
      <c r="S14" s="623">
        <f>6!S14+8!S14</f>
        <v>0</v>
      </c>
      <c r="T14" s="623">
        <f>6!T14+8!T14</f>
        <v>0</v>
      </c>
      <c r="U14" s="702">
        <f>6!U14+8!U14</f>
        <v>0</v>
      </c>
      <c r="V14" s="182">
        <f>SUM(I14:U14)</f>
        <v>22.326999999999998</v>
      </c>
      <c r="W14" s="182">
        <f t="shared" si="1"/>
        <v>0</v>
      </c>
      <c r="X14" s="182"/>
      <c r="Y14" s="175"/>
      <c r="Z14" s="171"/>
      <c r="AA14" s="171"/>
    </row>
    <row r="15" spans="1:27" ht="22.5" customHeight="1" thickBot="1">
      <c r="A15" s="241">
        <f t="shared" si="2"/>
        <v>6</v>
      </c>
      <c r="B15" s="188" t="s">
        <v>27</v>
      </c>
      <c r="C15" s="241" t="s">
        <v>19</v>
      </c>
      <c r="D15" s="622">
        <f>6!D15+8!D15</f>
        <v>20.06</v>
      </c>
      <c r="E15" s="622">
        <f>6!E15+8!E15</f>
        <v>8.713</v>
      </c>
      <c r="F15" s="622">
        <f>6!F15+8!F15</f>
        <v>16.087</v>
      </c>
      <c r="G15" s="622">
        <f>6!G15+8!G15</f>
        <v>3</v>
      </c>
      <c r="H15" s="622">
        <f>6!H15+8!H15</f>
        <v>13.087</v>
      </c>
      <c r="I15" s="622">
        <f>6!I15+8!I15</f>
        <v>0.6</v>
      </c>
      <c r="J15" s="624">
        <f>6!J15+8!J15</f>
        <v>0</v>
      </c>
      <c r="K15" s="622">
        <f>6!K15+8!K15</f>
        <v>0.3</v>
      </c>
      <c r="L15" s="622">
        <f>6!L15+8!L15</f>
        <v>0.5</v>
      </c>
      <c r="M15" s="622">
        <f>6!M15+8!M15</f>
        <v>2</v>
      </c>
      <c r="N15" s="622">
        <f>6!N15+8!N15</f>
        <v>2.5</v>
      </c>
      <c r="O15" s="622">
        <f>6!O15+8!O15</f>
        <v>2.3</v>
      </c>
      <c r="P15" s="622">
        <f>6!P15+8!P15</f>
        <v>1.8</v>
      </c>
      <c r="Q15" s="622">
        <f>6!Q15+8!Q15</f>
        <v>1.5</v>
      </c>
      <c r="R15" s="622">
        <f>6!R15+8!R15</f>
        <v>1.5869999999999997</v>
      </c>
      <c r="S15" s="622">
        <f>6!S15+8!S15</f>
        <v>0</v>
      </c>
      <c r="T15" s="622">
        <f>6!T15+8!T15</f>
        <v>0</v>
      </c>
      <c r="U15" s="703">
        <f>6!U15+8!U15</f>
        <v>0</v>
      </c>
      <c r="V15" s="182">
        <f t="shared" si="0"/>
        <v>13.087</v>
      </c>
      <c r="W15" s="182">
        <f t="shared" si="1"/>
        <v>0</v>
      </c>
      <c r="X15" s="182"/>
      <c r="Y15" s="175"/>
      <c r="Z15" s="171"/>
      <c r="AA15" s="171"/>
    </row>
    <row r="16" spans="1:27" ht="20.25" customHeight="1" thickBot="1">
      <c r="A16" s="241">
        <f t="shared" si="2"/>
        <v>7</v>
      </c>
      <c r="B16" s="697" t="s">
        <v>28</v>
      </c>
      <c r="C16" s="698" t="s">
        <v>29</v>
      </c>
      <c r="D16" s="623">
        <f>6!D16+8!D16</f>
        <v>11.265</v>
      </c>
      <c r="E16" s="623">
        <f>6!E16+8!E16</f>
        <v>7.574999999999999</v>
      </c>
      <c r="F16" s="623">
        <f>6!F16+8!F16</f>
        <v>4.245</v>
      </c>
      <c r="G16" s="623">
        <f>6!G16+8!G16</f>
        <v>2.379</v>
      </c>
      <c r="H16" s="623">
        <f>6!H16+8!H16</f>
        <v>1.866</v>
      </c>
      <c r="I16" s="623">
        <f>6!I16+8!I16</f>
        <v>0.94</v>
      </c>
      <c r="J16" s="624">
        <f>6!J16+8!J16</f>
        <v>0</v>
      </c>
      <c r="K16" s="623">
        <f>6!K16+8!K16</f>
        <v>0.47</v>
      </c>
      <c r="L16" s="623">
        <f>6!L16+8!L16</f>
        <v>0.456</v>
      </c>
      <c r="M16" s="623">
        <f>6!M16+8!M16</f>
        <v>0</v>
      </c>
      <c r="N16" s="623">
        <f>6!N16+8!N16</f>
        <v>0</v>
      </c>
      <c r="O16" s="623">
        <f>6!O16+8!O16</f>
        <v>0</v>
      </c>
      <c r="P16" s="623">
        <f>6!P16+8!P16</f>
        <v>0</v>
      </c>
      <c r="Q16" s="623">
        <f>6!Q16+8!Q16</f>
        <v>0</v>
      </c>
      <c r="R16" s="623">
        <f>6!R16+8!R16</f>
        <v>0</v>
      </c>
      <c r="S16" s="623">
        <f>6!S16+8!S16</f>
        <v>0</v>
      </c>
      <c r="T16" s="623">
        <f>6!T16+8!T16</f>
        <v>0</v>
      </c>
      <c r="U16" s="702">
        <f>6!U16+8!U16</f>
        <v>0</v>
      </c>
      <c r="V16" s="182">
        <f t="shared" si="0"/>
        <v>1.8659999999999999</v>
      </c>
      <c r="W16" s="182">
        <f t="shared" si="1"/>
        <v>0</v>
      </c>
      <c r="X16" s="182"/>
      <c r="Y16" s="175"/>
      <c r="Z16" s="171"/>
      <c r="AA16" s="171"/>
    </row>
    <row r="17" spans="1:27" ht="21.75" customHeight="1" thickBot="1">
      <c r="A17" s="241">
        <f t="shared" si="2"/>
        <v>8</v>
      </c>
      <c r="B17" s="188" t="s">
        <v>30</v>
      </c>
      <c r="C17" s="241" t="s">
        <v>31</v>
      </c>
      <c r="D17" s="622">
        <f>6!D17+8!D17</f>
        <v>2082.291</v>
      </c>
      <c r="E17" s="622">
        <f>6!E17+8!E17</f>
        <v>374.233</v>
      </c>
      <c r="F17" s="622">
        <f>6!F17+8!F17</f>
        <v>1709.12</v>
      </c>
      <c r="G17" s="622">
        <f>6!G17+8!G17</f>
        <v>450.92699999999996</v>
      </c>
      <c r="H17" s="622">
        <f>6!H17+8!H17</f>
        <v>1258.193</v>
      </c>
      <c r="I17" s="622">
        <f>6!I17+8!I17</f>
        <v>207.29000000000002</v>
      </c>
      <c r="J17" s="624">
        <f>6!J17+8!J17</f>
        <v>58.674</v>
      </c>
      <c r="K17" s="622">
        <f>6!K17+8!K17</f>
        <v>175.4</v>
      </c>
      <c r="L17" s="622">
        <f>6!L17+8!L17</f>
        <v>175.5</v>
      </c>
      <c r="M17" s="622">
        <f>6!M17+8!M17</f>
        <v>175</v>
      </c>
      <c r="N17" s="622">
        <f>6!N17+8!N17</f>
        <v>175</v>
      </c>
      <c r="O17" s="622">
        <f>6!O17+8!O17</f>
        <v>175</v>
      </c>
      <c r="P17" s="622">
        <f>6!P17+8!P17</f>
        <v>175</v>
      </c>
      <c r="Q17" s="622">
        <f>6!Q17+8!Q17</f>
        <v>0</v>
      </c>
      <c r="R17" s="622">
        <f>6!R17+8!R17</f>
        <v>0</v>
      </c>
      <c r="S17" s="622">
        <f>6!S17+8!S17</f>
        <v>0</v>
      </c>
      <c r="T17" s="622">
        <f>6!T17+8!T17</f>
        <v>0</v>
      </c>
      <c r="U17" s="703">
        <f>6!U17+8!U17</f>
        <v>0</v>
      </c>
      <c r="V17" s="182">
        <f t="shared" si="0"/>
        <v>1316.864</v>
      </c>
      <c r="W17" s="182">
        <f t="shared" si="1"/>
        <v>58.67100000000005</v>
      </c>
      <c r="X17" s="182"/>
      <c r="Y17" s="175"/>
      <c r="Z17" s="171"/>
      <c r="AA17" s="171"/>
    </row>
    <row r="18" spans="1:27" ht="21.75" customHeight="1" thickBot="1">
      <c r="A18" s="241">
        <f t="shared" si="2"/>
        <v>9</v>
      </c>
      <c r="B18" s="188" t="s">
        <v>75</v>
      </c>
      <c r="C18" s="241" t="s">
        <v>31</v>
      </c>
      <c r="D18" s="622">
        <f>6!D18+8!D18</f>
        <v>1786</v>
      </c>
      <c r="E18" s="622">
        <f>6!E18+8!E18</f>
        <v>486</v>
      </c>
      <c r="F18" s="622">
        <f>6!F18+8!F18</f>
        <v>1300.494</v>
      </c>
      <c r="G18" s="622">
        <f>6!G18+8!G18</f>
        <v>33.81</v>
      </c>
      <c r="H18" s="622">
        <f>6!H18+8!H18</f>
        <v>1266.684</v>
      </c>
      <c r="I18" s="622">
        <f>6!I18+8!I18</f>
        <v>160</v>
      </c>
      <c r="J18" s="624">
        <f>6!J18+8!J18</f>
        <v>0</v>
      </c>
      <c r="K18" s="622">
        <f>6!K18+8!K18</f>
        <v>160</v>
      </c>
      <c r="L18" s="622">
        <f>6!L18+8!L18</f>
        <v>160</v>
      </c>
      <c r="M18" s="622">
        <f>6!M18+8!M18</f>
        <v>160</v>
      </c>
      <c r="N18" s="622">
        <f>6!N18+8!N18</f>
        <v>160</v>
      </c>
      <c r="O18" s="622">
        <f>6!O18+8!O18</f>
        <v>160</v>
      </c>
      <c r="P18" s="622">
        <f>6!P18+8!P18</f>
        <v>160</v>
      </c>
      <c r="Q18" s="622">
        <f>6!Q18+8!Q18</f>
        <v>146.68</v>
      </c>
      <c r="R18" s="622">
        <f>6!R18+8!R18</f>
        <v>0</v>
      </c>
      <c r="S18" s="622">
        <f>6!S18+8!S18</f>
        <v>0</v>
      </c>
      <c r="T18" s="622">
        <f>6!T18+8!T18</f>
        <v>0</v>
      </c>
      <c r="U18" s="703">
        <f>6!U18+8!U18</f>
        <v>0</v>
      </c>
      <c r="V18" s="182"/>
      <c r="W18" s="182"/>
      <c r="X18" s="182"/>
      <c r="Y18" s="175"/>
      <c r="Z18" s="171"/>
      <c r="AA18" s="171"/>
    </row>
    <row r="19" spans="1:27" ht="21" customHeight="1" thickBot="1">
      <c r="A19" s="241">
        <f t="shared" si="2"/>
        <v>10</v>
      </c>
      <c r="B19" s="697" t="s">
        <v>32</v>
      </c>
      <c r="C19" s="698" t="s">
        <v>2</v>
      </c>
      <c r="D19" s="623">
        <f>6!D19+8!D19</f>
        <v>2296.424</v>
      </c>
      <c r="E19" s="623">
        <f>6!E19+8!E19</f>
        <v>0</v>
      </c>
      <c r="F19" s="623">
        <f>6!F19+8!F19</f>
        <v>2296.424</v>
      </c>
      <c r="G19" s="623">
        <f>6!G19+8!G19</f>
        <v>0</v>
      </c>
      <c r="H19" s="623">
        <f>6!H19+8!H19</f>
        <v>2296.424</v>
      </c>
      <c r="I19" s="623">
        <f>6!I19+8!I19</f>
        <v>90</v>
      </c>
      <c r="J19" s="624">
        <f>6!J19+8!J19</f>
        <v>0</v>
      </c>
      <c r="K19" s="623">
        <f>6!K19+8!K19</f>
        <v>60</v>
      </c>
      <c r="L19" s="623">
        <f>6!L19+8!L19</f>
        <v>130</v>
      </c>
      <c r="M19" s="623">
        <f>6!M19+8!M19</f>
        <v>130</v>
      </c>
      <c r="N19" s="623">
        <f>6!N19+8!N19</f>
        <v>130</v>
      </c>
      <c r="O19" s="623">
        <f>6!O19+8!O19</f>
        <v>129</v>
      </c>
      <c r="P19" s="623">
        <f>6!P19+8!P19</f>
        <v>810.42</v>
      </c>
      <c r="Q19" s="623">
        <f>6!Q19+8!Q19</f>
        <v>817</v>
      </c>
      <c r="R19" s="623">
        <f>6!R19+8!R19</f>
        <v>0</v>
      </c>
      <c r="S19" s="623">
        <f>6!S19+8!S19</f>
        <v>0</v>
      </c>
      <c r="T19" s="623">
        <f>6!T19+8!T19</f>
        <v>0</v>
      </c>
      <c r="U19" s="702">
        <f>6!U19+8!U19</f>
        <v>0</v>
      </c>
      <c r="V19" s="182">
        <f t="shared" si="0"/>
        <v>2296.42</v>
      </c>
      <c r="W19" s="182">
        <f t="shared" si="1"/>
        <v>-0.0039999999999054126</v>
      </c>
      <c r="X19" s="182"/>
      <c r="Y19" s="175"/>
      <c r="Z19" s="171"/>
      <c r="AA19" s="171"/>
    </row>
    <row r="20" spans="1:27" ht="19.5" customHeight="1" thickBot="1">
      <c r="A20" s="241">
        <f t="shared" si="2"/>
        <v>11</v>
      </c>
      <c r="B20" s="188" t="s">
        <v>33</v>
      </c>
      <c r="C20" s="241" t="s">
        <v>19</v>
      </c>
      <c r="D20" s="622">
        <f>6!D20+8!D20</f>
        <v>1747.17</v>
      </c>
      <c r="E20" s="622">
        <f>6!E20+8!E20</f>
        <v>0</v>
      </c>
      <c r="F20" s="622">
        <f>6!F20+8!F20</f>
        <v>1747.165</v>
      </c>
      <c r="G20" s="622">
        <f>6!G20+8!G20</f>
        <v>0</v>
      </c>
      <c r="H20" s="622">
        <f>6!H20+8!H20</f>
        <v>1747.165</v>
      </c>
      <c r="I20" s="622">
        <f>6!I20+8!I20</f>
        <v>0</v>
      </c>
      <c r="J20" s="624">
        <f>6!J20+8!J20</f>
        <v>0</v>
      </c>
      <c r="K20" s="622">
        <f>6!K20+8!K20</f>
        <v>0</v>
      </c>
      <c r="L20" s="622">
        <f>6!L20+8!L20</f>
        <v>0</v>
      </c>
      <c r="M20" s="622">
        <f>6!M20+8!M20</f>
        <v>0</v>
      </c>
      <c r="N20" s="622">
        <f>6!N20+8!N20</f>
        <v>0</v>
      </c>
      <c r="O20" s="622">
        <f>6!O20+8!O20</f>
        <v>0</v>
      </c>
      <c r="P20" s="622">
        <f>6!P20+8!P20</f>
        <v>850</v>
      </c>
      <c r="Q20" s="622">
        <f>6!Q20+8!Q20</f>
        <v>897.165</v>
      </c>
      <c r="R20" s="622">
        <f>6!R20+8!R20</f>
        <v>0</v>
      </c>
      <c r="S20" s="622">
        <f>6!S20+8!S20</f>
        <v>0</v>
      </c>
      <c r="T20" s="622">
        <f>6!T20+8!T20</f>
        <v>0</v>
      </c>
      <c r="U20" s="703">
        <f>6!U20+8!U20</f>
        <v>0</v>
      </c>
      <c r="V20" s="182">
        <f t="shared" si="0"/>
        <v>1747.165</v>
      </c>
      <c r="W20" s="182">
        <f t="shared" si="1"/>
        <v>0</v>
      </c>
      <c r="X20" s="182"/>
      <c r="Y20" s="175"/>
      <c r="Z20" s="171"/>
      <c r="AA20" s="171"/>
    </row>
    <row r="21" spans="1:27" ht="20.25" customHeight="1" thickBot="1">
      <c r="A21" s="241">
        <f t="shared" si="2"/>
        <v>12</v>
      </c>
      <c r="B21" s="697" t="s">
        <v>34</v>
      </c>
      <c r="C21" s="698" t="s">
        <v>35</v>
      </c>
      <c r="D21" s="623">
        <f>6!D21+8!D21</f>
        <v>548.6800000000001</v>
      </c>
      <c r="E21" s="623">
        <f>6!E21+8!E21</f>
        <v>0</v>
      </c>
      <c r="F21" s="623">
        <f>6!F21+8!F21</f>
        <v>24.48</v>
      </c>
      <c r="G21" s="623">
        <f>6!G21+8!G21</f>
        <v>0</v>
      </c>
      <c r="H21" s="623">
        <f>6!H21+8!H21</f>
        <v>24.48</v>
      </c>
      <c r="I21" s="623">
        <f>6!I21+8!I21</f>
        <v>0</v>
      </c>
      <c r="J21" s="624">
        <f>6!J21+8!J21</f>
        <v>0</v>
      </c>
      <c r="K21" s="623">
        <f>6!K21+8!K21</f>
        <v>0</v>
      </c>
      <c r="L21" s="623">
        <f>6!L21+8!L21</f>
        <v>0</v>
      </c>
      <c r="M21" s="623">
        <f>6!M21+8!M21</f>
        <v>0</v>
      </c>
      <c r="N21" s="623">
        <f>6!N21+8!N21</f>
        <v>0</v>
      </c>
      <c r="O21" s="623">
        <f>6!O21+8!O21</f>
        <v>12</v>
      </c>
      <c r="P21" s="623">
        <f>6!P21+8!P21</f>
        <v>12.48</v>
      </c>
      <c r="Q21" s="623">
        <f>6!Q21+8!Q21</f>
        <v>0</v>
      </c>
      <c r="R21" s="623">
        <f>6!R21+8!R21</f>
        <v>0</v>
      </c>
      <c r="S21" s="623">
        <f>6!S21+8!S21</f>
        <v>0</v>
      </c>
      <c r="T21" s="623">
        <f>6!T21+8!T21</f>
        <v>0</v>
      </c>
      <c r="U21" s="702">
        <f>6!U21+8!U21</f>
        <v>0</v>
      </c>
      <c r="V21" s="182">
        <f t="shared" si="0"/>
        <v>24.48</v>
      </c>
      <c r="W21" s="182">
        <f t="shared" si="1"/>
        <v>0</v>
      </c>
      <c r="X21" s="182"/>
      <c r="Y21" s="175"/>
      <c r="Z21" s="171"/>
      <c r="AA21" s="171"/>
    </row>
    <row r="22" spans="1:27" ht="24" customHeight="1" thickBot="1">
      <c r="A22" s="241">
        <f t="shared" si="2"/>
        <v>13</v>
      </c>
      <c r="B22" s="247" t="s">
        <v>36</v>
      </c>
      <c r="C22" s="220" t="s">
        <v>2</v>
      </c>
      <c r="D22" s="622">
        <f>6!D22+8!D22</f>
        <v>1161</v>
      </c>
      <c r="E22" s="622">
        <f>6!E22+8!E22</f>
        <v>0</v>
      </c>
      <c r="F22" s="622">
        <f>6!F22+8!F22</f>
        <v>1161</v>
      </c>
      <c r="G22" s="622">
        <f>6!G22+8!G22</f>
        <v>0</v>
      </c>
      <c r="H22" s="622">
        <f>6!H22+8!H22</f>
        <v>1161</v>
      </c>
      <c r="I22" s="622">
        <f>6!I22+8!I22</f>
        <v>100</v>
      </c>
      <c r="J22" s="624">
        <f>6!J22+8!J22</f>
        <v>0</v>
      </c>
      <c r="K22" s="622">
        <f>6!K22+8!K22</f>
        <v>450</v>
      </c>
      <c r="L22" s="622">
        <f>6!L22+8!L22</f>
        <v>342</v>
      </c>
      <c r="M22" s="622">
        <f>6!M22+8!M22</f>
        <v>0</v>
      </c>
      <c r="N22" s="622">
        <f>6!N22+8!N22</f>
        <v>0</v>
      </c>
      <c r="O22" s="622">
        <f>6!O22+8!O22</f>
        <v>0</v>
      </c>
      <c r="P22" s="622">
        <f>6!P22+8!P22</f>
        <v>150</v>
      </c>
      <c r="Q22" s="622">
        <f>6!Q22+8!Q22</f>
        <v>119</v>
      </c>
      <c r="R22" s="622">
        <f>6!R22+8!R22</f>
        <v>0</v>
      </c>
      <c r="S22" s="622">
        <f>6!S22+8!S22</f>
        <v>0</v>
      </c>
      <c r="T22" s="622">
        <f>6!T22+8!T22</f>
        <v>0</v>
      </c>
      <c r="U22" s="703">
        <f>6!U22+8!U22</f>
        <v>0</v>
      </c>
      <c r="V22" s="182">
        <f t="shared" si="0"/>
        <v>1161</v>
      </c>
      <c r="W22" s="182">
        <f t="shared" si="1"/>
        <v>0</v>
      </c>
      <c r="X22" s="182"/>
      <c r="Y22" s="201"/>
      <c r="Z22" s="171"/>
      <c r="AA22" s="171"/>
    </row>
    <row r="23" spans="1:27" ht="20.25" customHeight="1" thickBot="1">
      <c r="A23" s="241">
        <f t="shared" si="2"/>
        <v>14</v>
      </c>
      <c r="B23" s="697" t="s">
        <v>37</v>
      </c>
      <c r="C23" s="698" t="s">
        <v>2</v>
      </c>
      <c r="D23" s="623">
        <f>6!D23+8!D23</f>
        <v>547</v>
      </c>
      <c r="E23" s="623">
        <f>6!E23+8!E23</f>
        <v>0</v>
      </c>
      <c r="F23" s="623">
        <f>6!F23+8!F23</f>
        <v>547</v>
      </c>
      <c r="G23" s="623">
        <f>6!G23+8!G23</f>
        <v>0</v>
      </c>
      <c r="H23" s="623">
        <f>6!H23+8!H23</f>
        <v>547</v>
      </c>
      <c r="I23" s="623">
        <f>6!I23+8!I23</f>
        <v>0</v>
      </c>
      <c r="J23" s="624">
        <f>6!J23+8!J23</f>
        <v>0</v>
      </c>
      <c r="K23" s="623">
        <f>6!K23+8!K23</f>
        <v>0</v>
      </c>
      <c r="L23" s="623">
        <f>6!L23+8!L23</f>
        <v>0</v>
      </c>
      <c r="M23" s="623">
        <f>6!M23+8!M23</f>
        <v>0</v>
      </c>
      <c r="N23" s="623">
        <f>6!N23+8!N23</f>
        <v>0</v>
      </c>
      <c r="O23" s="623">
        <f>6!O23+8!O23</f>
        <v>0</v>
      </c>
      <c r="P23" s="623">
        <f>6!P23+8!P23</f>
        <v>378</v>
      </c>
      <c r="Q23" s="623">
        <f>6!Q23+8!Q23</f>
        <v>80</v>
      </c>
      <c r="R23" s="623">
        <f>6!R23+8!R23</f>
        <v>89</v>
      </c>
      <c r="S23" s="623">
        <f>6!S23+8!S23</f>
        <v>0</v>
      </c>
      <c r="T23" s="623">
        <f>6!T23+8!T23</f>
        <v>0</v>
      </c>
      <c r="U23" s="702">
        <f>6!U23+8!U23</f>
        <v>0</v>
      </c>
      <c r="V23" s="182">
        <f t="shared" si="0"/>
        <v>547</v>
      </c>
      <c r="W23" s="182">
        <f t="shared" si="1"/>
        <v>0</v>
      </c>
      <c r="X23" s="182"/>
      <c r="Y23" s="175"/>
      <c r="Z23" s="171"/>
      <c r="AA23" s="171"/>
    </row>
    <row r="24" spans="1:27" ht="24" customHeight="1" thickBot="1">
      <c r="A24" s="241">
        <f t="shared" si="2"/>
        <v>15</v>
      </c>
      <c r="B24" s="247" t="s">
        <v>38</v>
      </c>
      <c r="C24" s="220" t="s">
        <v>35</v>
      </c>
      <c r="D24" s="622">
        <f>6!D24+8!D24</f>
        <v>1940</v>
      </c>
      <c r="E24" s="622">
        <f>6!E24+8!E24</f>
        <v>0</v>
      </c>
      <c r="F24" s="622">
        <f>6!F24+8!F24</f>
        <v>1940</v>
      </c>
      <c r="G24" s="622">
        <f>6!G24+8!G24</f>
        <v>1800</v>
      </c>
      <c r="H24" s="622">
        <f>6!H24+8!H24</f>
        <v>140</v>
      </c>
      <c r="I24" s="622">
        <f>6!I24+8!I24</f>
        <v>0</v>
      </c>
      <c r="J24" s="624">
        <f>6!J24+8!J24</f>
        <v>0</v>
      </c>
      <c r="K24" s="622">
        <f>6!K24+8!K24</f>
        <v>0</v>
      </c>
      <c r="L24" s="622">
        <f>6!L24+8!L24</f>
        <v>0</v>
      </c>
      <c r="M24" s="622">
        <f>6!M24+8!M24</f>
        <v>0</v>
      </c>
      <c r="N24" s="622">
        <f>6!N24+8!N24</f>
        <v>0</v>
      </c>
      <c r="O24" s="622">
        <f>6!O24+8!O24</f>
        <v>60</v>
      </c>
      <c r="P24" s="622">
        <f>6!P24+8!P24</f>
        <v>40</v>
      </c>
      <c r="Q24" s="622">
        <f>6!Q24+8!Q24</f>
        <v>40</v>
      </c>
      <c r="R24" s="622">
        <f>6!R24+8!R24</f>
        <v>0</v>
      </c>
      <c r="S24" s="622">
        <f>6!S24+8!S24</f>
        <v>0</v>
      </c>
      <c r="T24" s="622">
        <f>6!T24+8!T24</f>
        <v>0</v>
      </c>
      <c r="U24" s="703">
        <f>6!U24+8!U24</f>
        <v>0</v>
      </c>
      <c r="V24" s="182">
        <f t="shared" si="0"/>
        <v>140</v>
      </c>
      <c r="W24" s="182">
        <f t="shared" si="1"/>
        <v>0</v>
      </c>
      <c r="X24" s="182"/>
      <c r="Y24" s="175"/>
      <c r="Z24" s="171"/>
      <c r="AA24" s="171"/>
    </row>
    <row r="25" spans="1:27" ht="26.25" thickBot="1">
      <c r="A25" s="241">
        <f t="shared" si="2"/>
        <v>16</v>
      </c>
      <c r="B25" s="697" t="s">
        <v>39</v>
      </c>
      <c r="C25" s="698" t="s">
        <v>2</v>
      </c>
      <c r="D25" s="623">
        <f>6!D25+8!D25</f>
        <v>58971</v>
      </c>
      <c r="E25" s="623">
        <f>6!E25+8!E25</f>
        <v>58702</v>
      </c>
      <c r="F25" s="623">
        <f>6!F25+8!F25</f>
        <v>58971</v>
      </c>
      <c r="G25" s="623">
        <f>6!G25+8!G25</f>
        <v>58702</v>
      </c>
      <c r="H25" s="623">
        <f>6!H25+8!H25</f>
        <v>269</v>
      </c>
      <c r="I25" s="623">
        <f>6!I25+8!I25</f>
        <v>0</v>
      </c>
      <c r="J25" s="624">
        <f>6!J25+8!J25</f>
        <v>0</v>
      </c>
      <c r="K25" s="623">
        <f>6!K25+8!K25</f>
        <v>0</v>
      </c>
      <c r="L25" s="623">
        <f>6!L25+8!L25</f>
        <v>0</v>
      </c>
      <c r="M25" s="623">
        <f>6!M25+8!M25</f>
        <v>0</v>
      </c>
      <c r="N25" s="623">
        <f>6!N25+8!N25</f>
        <v>0</v>
      </c>
      <c r="O25" s="623">
        <f>6!O25+8!O25</f>
        <v>0</v>
      </c>
      <c r="P25" s="623">
        <f>6!P25+8!P25</f>
        <v>150</v>
      </c>
      <c r="Q25" s="623">
        <f>6!Q25+8!Q25</f>
        <v>119</v>
      </c>
      <c r="R25" s="623">
        <f>6!R25+8!R25</f>
        <v>0</v>
      </c>
      <c r="S25" s="623">
        <f>6!S25+8!S25</f>
        <v>0</v>
      </c>
      <c r="T25" s="623">
        <f>6!T25+8!T25</f>
        <v>0</v>
      </c>
      <c r="U25" s="702">
        <f>6!U25+8!U25</f>
        <v>0</v>
      </c>
      <c r="V25" s="182">
        <f t="shared" si="0"/>
        <v>269</v>
      </c>
      <c r="W25" s="182">
        <f t="shared" si="1"/>
        <v>0</v>
      </c>
      <c r="X25" s="182"/>
      <c r="Y25" s="175"/>
      <c r="Z25" s="171"/>
      <c r="AA25" s="171"/>
    </row>
    <row r="26" spans="1:27" ht="22.5" customHeight="1" thickBot="1">
      <c r="A26" s="241">
        <f t="shared" si="2"/>
        <v>17</v>
      </c>
      <c r="B26" s="247" t="s">
        <v>40</v>
      </c>
      <c r="C26" s="220" t="s">
        <v>41</v>
      </c>
      <c r="D26" s="622">
        <f>6!D26+8!D26</f>
        <v>378.8</v>
      </c>
      <c r="E26" s="622">
        <f>6!E26+8!E26</f>
        <v>0</v>
      </c>
      <c r="F26" s="622">
        <f>6!F26+8!F26</f>
        <v>378.8</v>
      </c>
      <c r="G26" s="622">
        <f>6!G26+8!G26</f>
        <v>0</v>
      </c>
      <c r="H26" s="622">
        <f>6!H26+8!H26</f>
        <v>378.8</v>
      </c>
      <c r="I26" s="622">
        <f>6!I26+8!I26</f>
        <v>0</v>
      </c>
      <c r="J26" s="624">
        <f>6!J26+8!J26</f>
        <v>0</v>
      </c>
      <c r="K26" s="622">
        <f>6!K26+8!K26</f>
        <v>0</v>
      </c>
      <c r="L26" s="622">
        <f>6!L26+8!L26</f>
        <v>0</v>
      </c>
      <c r="M26" s="622">
        <f>6!M26+8!M26</f>
        <v>0</v>
      </c>
      <c r="N26" s="622">
        <f>6!N26+8!N26</f>
        <v>0</v>
      </c>
      <c r="O26" s="622">
        <f>6!O26+8!O26</f>
        <v>0</v>
      </c>
      <c r="P26" s="622">
        <f>6!P26+8!P26</f>
        <v>378.4</v>
      </c>
      <c r="Q26" s="622">
        <f>6!Q26+8!Q26</f>
        <v>0.4</v>
      </c>
      <c r="R26" s="622">
        <f>6!R26+8!R26</f>
        <v>0</v>
      </c>
      <c r="S26" s="622">
        <f>6!S26+8!S26</f>
        <v>0</v>
      </c>
      <c r="T26" s="622">
        <f>6!T26+8!T26</f>
        <v>0</v>
      </c>
      <c r="U26" s="703">
        <f>6!U26+8!U26</f>
        <v>0</v>
      </c>
      <c r="V26" s="182">
        <f t="shared" si="0"/>
        <v>378.79999999999995</v>
      </c>
      <c r="W26" s="182">
        <f t="shared" si="1"/>
        <v>0</v>
      </c>
      <c r="X26" s="182"/>
      <c r="Y26" s="175"/>
      <c r="Z26" s="171"/>
      <c r="AA26" s="171"/>
    </row>
    <row r="27" spans="1:27" ht="23.25" customHeight="1" thickBot="1">
      <c r="A27" s="241">
        <f t="shared" si="2"/>
        <v>18</v>
      </c>
      <c r="B27" s="247" t="s">
        <v>68</v>
      </c>
      <c r="C27" s="220" t="s">
        <v>41</v>
      </c>
      <c r="D27" s="622">
        <f>6!D27+8!D27</f>
        <v>216</v>
      </c>
      <c r="E27" s="622">
        <f>6!E27+8!E27</f>
        <v>0</v>
      </c>
      <c r="F27" s="622">
        <f>6!F27+8!F27</f>
        <v>216</v>
      </c>
      <c r="G27" s="622">
        <f>6!G27+8!G27</f>
        <v>0</v>
      </c>
      <c r="H27" s="622">
        <f>6!H27+8!H27</f>
        <v>216</v>
      </c>
      <c r="I27" s="622">
        <f>6!I27+8!I27</f>
        <v>0</v>
      </c>
      <c r="J27" s="624">
        <f>6!J27+8!J27</f>
        <v>0</v>
      </c>
      <c r="K27" s="622">
        <f>6!K27+8!K27</f>
        <v>0</v>
      </c>
      <c r="L27" s="622">
        <f>6!L27+8!L27</f>
        <v>0</v>
      </c>
      <c r="M27" s="622">
        <f>6!M27+8!M27</f>
        <v>0</v>
      </c>
      <c r="N27" s="622">
        <f>6!N27+8!N27</f>
        <v>0</v>
      </c>
      <c r="O27" s="622">
        <f>6!O27+8!O27</f>
        <v>100</v>
      </c>
      <c r="P27" s="622">
        <f>6!P27+8!P27</f>
        <v>116</v>
      </c>
      <c r="Q27" s="622">
        <f>6!Q27+8!Q27</f>
        <v>0</v>
      </c>
      <c r="R27" s="622">
        <f>6!R27+8!R27</f>
        <v>0</v>
      </c>
      <c r="S27" s="622">
        <f>6!S27+8!S27</f>
        <v>0</v>
      </c>
      <c r="T27" s="622">
        <f>6!T27+8!T27</f>
        <v>0</v>
      </c>
      <c r="U27" s="703">
        <f>6!U27+8!U27</f>
        <v>0</v>
      </c>
      <c r="V27" s="182">
        <f t="shared" si="0"/>
        <v>216</v>
      </c>
      <c r="W27" s="182">
        <f t="shared" si="1"/>
        <v>0</v>
      </c>
      <c r="X27" s="182"/>
      <c r="Y27" s="175"/>
      <c r="Z27" s="171"/>
      <c r="AA27" s="171"/>
    </row>
    <row r="28" spans="1:27" ht="21" customHeight="1" thickBot="1">
      <c r="A28" s="241">
        <f t="shared" si="2"/>
        <v>19</v>
      </c>
      <c r="B28" s="697" t="s">
        <v>43</v>
      </c>
      <c r="C28" s="698" t="s">
        <v>19</v>
      </c>
      <c r="D28" s="623">
        <f>6!D28+8!D28</f>
        <v>331.089</v>
      </c>
      <c r="E28" s="623">
        <f>6!E28+8!E28</f>
        <v>0</v>
      </c>
      <c r="F28" s="623">
        <f>6!F28+8!F28</f>
        <v>0</v>
      </c>
      <c r="G28" s="623">
        <f>6!G28+8!G28</f>
        <v>0</v>
      </c>
      <c r="H28" s="623">
        <f>6!H28+8!H28</f>
        <v>0</v>
      </c>
      <c r="I28" s="623">
        <f>6!I28+8!I28</f>
        <v>0</v>
      </c>
      <c r="J28" s="624">
        <f>6!J28+8!J28</f>
        <v>0</v>
      </c>
      <c r="K28" s="623">
        <f>6!K28+8!K28</f>
        <v>0</v>
      </c>
      <c r="L28" s="623">
        <f>6!L28+8!L28</f>
        <v>0</v>
      </c>
      <c r="M28" s="623">
        <f>6!M28+8!M28</f>
        <v>0</v>
      </c>
      <c r="N28" s="623">
        <f>6!N28+8!N28</f>
        <v>0</v>
      </c>
      <c r="O28" s="623">
        <f>6!O28+8!O28</f>
        <v>0</v>
      </c>
      <c r="P28" s="623">
        <f>6!P28+8!P28</f>
        <v>0</v>
      </c>
      <c r="Q28" s="623">
        <f>6!Q28+8!Q28</f>
        <v>0</v>
      </c>
      <c r="R28" s="623">
        <f>6!R28+8!R28</f>
        <v>0</v>
      </c>
      <c r="S28" s="623">
        <f>6!S28+8!S28</f>
        <v>0</v>
      </c>
      <c r="T28" s="623">
        <f>6!T28+8!T28</f>
        <v>0</v>
      </c>
      <c r="U28" s="702">
        <f>6!U28+8!U28</f>
        <v>0</v>
      </c>
      <c r="V28" s="182">
        <f t="shared" si="0"/>
        <v>0</v>
      </c>
      <c r="W28" s="182">
        <f t="shared" si="1"/>
        <v>0</v>
      </c>
      <c r="X28" s="182"/>
      <c r="Y28" s="175"/>
      <c r="Z28" s="171"/>
      <c r="AA28" s="171"/>
    </row>
    <row r="29" spans="1:27" ht="25.5" customHeight="1" thickBot="1">
      <c r="A29" s="241">
        <f t="shared" si="2"/>
        <v>20</v>
      </c>
      <c r="B29" s="247" t="s">
        <v>44</v>
      </c>
      <c r="C29" s="220" t="s">
        <v>45</v>
      </c>
      <c r="D29" s="622">
        <f>6!D29+8!D29</f>
        <v>0</v>
      </c>
      <c r="E29" s="622">
        <f>6!E29+8!E29</f>
        <v>0</v>
      </c>
      <c r="F29" s="622">
        <f>6!F29+8!F29</f>
        <v>0</v>
      </c>
      <c r="G29" s="622">
        <f>6!G29+8!G29</f>
        <v>0</v>
      </c>
      <c r="H29" s="622">
        <f>6!H29+8!H29</f>
        <v>0</v>
      </c>
      <c r="I29" s="622">
        <f>6!I29+8!I29</f>
        <v>0</v>
      </c>
      <c r="J29" s="624">
        <f>6!J29+8!J29</f>
        <v>0</v>
      </c>
      <c r="K29" s="622">
        <f>6!K29+8!K29</f>
        <v>0</v>
      </c>
      <c r="L29" s="622">
        <f>6!L29+8!L29</f>
        <v>0</v>
      </c>
      <c r="M29" s="622">
        <f>6!M29+8!M29</f>
        <v>0</v>
      </c>
      <c r="N29" s="622">
        <f>6!N29+8!N29</f>
        <v>0</v>
      </c>
      <c r="O29" s="622">
        <f>6!O29+8!O29</f>
        <v>0</v>
      </c>
      <c r="P29" s="622">
        <f>6!P29+8!P29</f>
        <v>0</v>
      </c>
      <c r="Q29" s="622">
        <f>6!Q29+8!Q29</f>
        <v>0</v>
      </c>
      <c r="R29" s="622">
        <f>6!R29+8!R29</f>
        <v>0</v>
      </c>
      <c r="S29" s="622">
        <f>6!S29+8!S29</f>
        <v>0</v>
      </c>
      <c r="T29" s="622">
        <f>6!T29+8!T29</f>
        <v>0</v>
      </c>
      <c r="U29" s="703">
        <f>6!U29+8!U29</f>
        <v>0</v>
      </c>
      <c r="V29" s="182">
        <f t="shared" si="0"/>
        <v>0</v>
      </c>
      <c r="W29" s="182">
        <f t="shared" si="1"/>
        <v>0</v>
      </c>
      <c r="X29" s="182"/>
      <c r="Y29" s="175"/>
      <c r="Z29" s="171"/>
      <c r="AA29" s="171"/>
    </row>
    <row r="30" spans="1:27" ht="27" customHeight="1" thickBot="1">
      <c r="A30" s="241">
        <f t="shared" si="2"/>
        <v>21</v>
      </c>
      <c r="B30" s="247" t="s">
        <v>46</v>
      </c>
      <c r="C30" s="220" t="s">
        <v>19</v>
      </c>
      <c r="D30" s="622">
        <f>6!D30+8!D30</f>
        <v>0</v>
      </c>
      <c r="E30" s="622">
        <f>6!E30+8!E30</f>
        <v>0</v>
      </c>
      <c r="F30" s="622">
        <f>6!F30+8!F30</f>
        <v>0</v>
      </c>
      <c r="G30" s="622">
        <f>6!G30+8!G30</f>
        <v>0</v>
      </c>
      <c r="H30" s="622">
        <f>6!H30+8!H30</f>
        <v>0</v>
      </c>
      <c r="I30" s="622">
        <f>6!I30+8!I30</f>
        <v>0</v>
      </c>
      <c r="J30" s="624">
        <f>6!J30+8!J30</f>
        <v>0</v>
      </c>
      <c r="K30" s="622">
        <f>6!K30+8!K30</f>
        <v>0</v>
      </c>
      <c r="L30" s="622">
        <f>6!L30+8!L30</f>
        <v>0</v>
      </c>
      <c r="M30" s="622">
        <f>6!M30+8!M30</f>
        <v>0</v>
      </c>
      <c r="N30" s="622">
        <f>6!N30+8!N30</f>
        <v>0</v>
      </c>
      <c r="O30" s="622">
        <f>6!O30+8!O30</f>
        <v>0</v>
      </c>
      <c r="P30" s="622">
        <f>6!P30+8!P30</f>
        <v>0</v>
      </c>
      <c r="Q30" s="622">
        <f>6!Q30+8!Q30</f>
        <v>0</v>
      </c>
      <c r="R30" s="622">
        <f>6!R30+8!R30</f>
        <v>0</v>
      </c>
      <c r="S30" s="622">
        <f>6!S30+8!S30</f>
        <v>0</v>
      </c>
      <c r="T30" s="622">
        <f>6!T30+8!T30</f>
        <v>0</v>
      </c>
      <c r="U30" s="703">
        <f>6!U30+8!U30</f>
        <v>0</v>
      </c>
      <c r="V30" s="182">
        <f t="shared" si="0"/>
        <v>0</v>
      </c>
      <c r="W30" s="182">
        <f t="shared" si="1"/>
        <v>0</v>
      </c>
      <c r="X30" s="182"/>
      <c r="Y30" s="175"/>
      <c r="Z30" s="171"/>
      <c r="AA30" s="171"/>
    </row>
    <row r="31" spans="1:27" ht="19.5" customHeight="1" thickBot="1">
      <c r="A31" s="241">
        <f t="shared" si="2"/>
        <v>22</v>
      </c>
      <c r="B31" s="247" t="s">
        <v>47</v>
      </c>
      <c r="C31" s="220" t="s">
        <v>19</v>
      </c>
      <c r="D31" s="622">
        <f>6!D31+8!D31</f>
        <v>0</v>
      </c>
      <c r="E31" s="622">
        <f>6!E31+8!E31</f>
        <v>0</v>
      </c>
      <c r="F31" s="622">
        <f>6!F31+8!F31</f>
        <v>0</v>
      </c>
      <c r="G31" s="622">
        <f>6!G31+8!G31</f>
        <v>0</v>
      </c>
      <c r="H31" s="622">
        <f>6!H31+8!H31</f>
        <v>0</v>
      </c>
      <c r="I31" s="622">
        <f>6!I31+8!I31</f>
        <v>0</v>
      </c>
      <c r="J31" s="624">
        <f>6!J31+8!J31</f>
        <v>0</v>
      </c>
      <c r="K31" s="622">
        <f>6!K31+8!K31</f>
        <v>0</v>
      </c>
      <c r="L31" s="622">
        <f>6!L31+8!L31</f>
        <v>0</v>
      </c>
      <c r="M31" s="622">
        <f>6!M31+8!M31</f>
        <v>0</v>
      </c>
      <c r="N31" s="622">
        <f>6!N31+8!N31</f>
        <v>0</v>
      </c>
      <c r="O31" s="622">
        <f>6!O31+8!O31</f>
        <v>0</v>
      </c>
      <c r="P31" s="622">
        <f>6!P31+8!P31</f>
        <v>0</v>
      </c>
      <c r="Q31" s="622">
        <f>6!Q31+8!Q31</f>
        <v>0</v>
      </c>
      <c r="R31" s="622">
        <f>6!R31+8!R31</f>
        <v>0</v>
      </c>
      <c r="S31" s="622">
        <f>6!S31+8!S31</f>
        <v>0</v>
      </c>
      <c r="T31" s="622">
        <f>6!T31+8!T31</f>
        <v>0</v>
      </c>
      <c r="U31" s="703">
        <f>6!U31+8!U31</f>
        <v>0</v>
      </c>
      <c r="V31" s="182">
        <f t="shared" si="0"/>
        <v>0</v>
      </c>
      <c r="W31" s="182">
        <f t="shared" si="1"/>
        <v>0</v>
      </c>
      <c r="X31" s="182"/>
      <c r="Y31" s="175"/>
      <c r="Z31" s="171"/>
      <c r="AA31" s="171"/>
    </row>
    <row r="32" spans="1:27" ht="22.5" customHeight="1" thickBot="1">
      <c r="A32" s="699">
        <f t="shared" si="2"/>
        <v>23</v>
      </c>
      <c r="B32" s="700" t="s">
        <v>48</v>
      </c>
      <c r="C32" s="701" t="s">
        <v>41</v>
      </c>
      <c r="D32" s="704">
        <f>6!D32+8!D32</f>
        <v>495.05</v>
      </c>
      <c r="E32" s="704">
        <f>6!E32+8!E32</f>
        <v>15.28</v>
      </c>
      <c r="F32" s="704">
        <f>6!F32+8!F32</f>
        <v>479.77</v>
      </c>
      <c r="G32" s="704">
        <f>6!G32+8!G32</f>
        <v>0</v>
      </c>
      <c r="H32" s="704">
        <f>6!H32+8!H32</f>
        <v>479.77</v>
      </c>
      <c r="I32" s="704">
        <f>6!I32+8!I32</f>
        <v>100</v>
      </c>
      <c r="J32" s="729">
        <f>6!J32+8!J32</f>
        <v>0</v>
      </c>
      <c r="K32" s="704">
        <f>6!K32+8!K32</f>
        <v>100</v>
      </c>
      <c r="L32" s="704">
        <f>6!L32+8!L32</f>
        <v>100</v>
      </c>
      <c r="M32" s="704">
        <f>6!M32+8!M32</f>
        <v>100</v>
      </c>
      <c r="N32" s="704">
        <f>6!N32+8!N32</f>
        <v>79.77</v>
      </c>
      <c r="O32" s="704">
        <f>6!O32+8!O32</f>
        <v>0</v>
      </c>
      <c r="P32" s="704">
        <f>6!P32+8!P32</f>
        <v>0</v>
      </c>
      <c r="Q32" s="704">
        <f>6!Q32+8!Q32</f>
        <v>0</v>
      </c>
      <c r="R32" s="704">
        <f>6!R32+8!R32</f>
        <v>0</v>
      </c>
      <c r="S32" s="704">
        <f>6!S32+8!S32</f>
        <v>0</v>
      </c>
      <c r="T32" s="704">
        <f>6!T32+8!T32</f>
        <v>0</v>
      </c>
      <c r="U32" s="677">
        <f>6!U32+8!U32</f>
        <v>0</v>
      </c>
      <c r="V32" s="182">
        <f t="shared" si="0"/>
        <v>479.77</v>
      </c>
      <c r="W32" s="182">
        <f t="shared" si="1"/>
        <v>0</v>
      </c>
      <c r="X32" s="182"/>
      <c r="Y32" s="171"/>
      <c r="Z32" s="171"/>
      <c r="AA32" s="171"/>
    </row>
    <row r="33" spans="1:24" ht="15">
      <c r="A33" s="6"/>
      <c r="B33" s="7"/>
      <c r="C33" s="8"/>
      <c r="D33" s="8"/>
      <c r="E33" s="8"/>
      <c r="F33" s="9"/>
      <c r="G33" s="10"/>
      <c r="H33" s="10"/>
      <c r="I33" s="9"/>
      <c r="J33" s="11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15">
      <c r="A34" s="6"/>
      <c r="B34" s="7"/>
      <c r="C34" s="8"/>
      <c r="D34" s="8"/>
      <c r="E34" s="8"/>
      <c r="F34" s="9"/>
      <c r="G34" s="10"/>
      <c r="H34" s="10"/>
      <c r="I34" s="9"/>
      <c r="J34" s="11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5">
      <c r="A35" s="6"/>
      <c r="B35" s="732"/>
      <c r="C35" s="732"/>
      <c r="D35" s="732"/>
      <c r="E35" s="732"/>
      <c r="F35" s="732"/>
      <c r="G35" s="732"/>
      <c r="H35" s="732"/>
      <c r="I35" s="9"/>
      <c r="J35" s="11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ht="15">
      <c r="A36" s="6"/>
      <c r="B36" s="7"/>
      <c r="C36" s="8"/>
      <c r="F36" s="9"/>
      <c r="G36" s="10"/>
      <c r="H36" s="10"/>
      <c r="I36" s="9"/>
      <c r="J36" s="11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</sheetData>
  <sheetProtection/>
  <mergeCells count="11">
    <mergeCell ref="I5:J5"/>
    <mergeCell ref="D4:D5"/>
    <mergeCell ref="E4:E5"/>
    <mergeCell ref="B35:H35"/>
    <mergeCell ref="A1:AA2"/>
    <mergeCell ref="A4:A5"/>
    <mergeCell ref="B4:B5"/>
    <mergeCell ref="C4:C5"/>
    <mergeCell ref="F4:G4"/>
    <mergeCell ref="H4:H5"/>
    <mergeCell ref="I4:U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5"/>
  <sheetViews>
    <sheetView view="pageBreakPreview" zoomScaleSheetLayoutView="100" zoomScalePageLayoutView="0" workbookViewId="0" topLeftCell="A1">
      <selection activeCell="T3" sqref="T3"/>
    </sheetView>
  </sheetViews>
  <sheetFormatPr defaultColWidth="9.00390625" defaultRowHeight="12.75"/>
  <cols>
    <col min="1" max="1" width="4.00390625" style="0" customWidth="1"/>
    <col min="2" max="2" width="36.125" style="0" customWidth="1"/>
    <col min="4" max="4" width="16.25390625" style="0" customWidth="1"/>
    <col min="5" max="5" width="13.75390625" style="0" customWidth="1"/>
    <col min="6" max="6" width="9.25390625" style="0" hidden="1" customWidth="1"/>
    <col min="7" max="7" width="12.25390625" style="0" hidden="1" customWidth="1"/>
    <col min="8" max="8" width="12.25390625" style="0" customWidth="1"/>
    <col min="17" max="17" width="8.75390625" style="0" customWidth="1"/>
    <col min="21" max="21" width="9.75390625" style="0" customWidth="1"/>
  </cols>
  <sheetData>
    <row r="1" spans="1:27" ht="13.5" customHeight="1">
      <c r="A1" s="759" t="s">
        <v>78</v>
      </c>
      <c r="B1" s="759"/>
      <c r="C1" s="759"/>
      <c r="D1" s="759"/>
      <c r="E1" s="759"/>
      <c r="F1" s="759"/>
      <c r="G1" s="759"/>
      <c r="H1" s="759"/>
      <c r="I1" s="759"/>
      <c r="J1" s="759"/>
      <c r="K1" s="759"/>
      <c r="L1" s="759"/>
      <c r="M1" s="759"/>
      <c r="N1" s="759"/>
      <c r="O1" s="759"/>
      <c r="P1" s="759"/>
      <c r="Q1" s="759"/>
      <c r="R1" s="759"/>
      <c r="S1" s="759"/>
      <c r="T1" s="759"/>
      <c r="U1" s="759"/>
      <c r="V1" s="466"/>
      <c r="W1" s="466"/>
      <c r="X1" s="466"/>
      <c r="Y1" s="466"/>
      <c r="Z1" s="466"/>
      <c r="AA1" s="466"/>
    </row>
    <row r="2" spans="1:27" ht="33" customHeight="1">
      <c r="A2" s="759"/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9"/>
      <c r="O2" s="759"/>
      <c r="P2" s="759"/>
      <c r="Q2" s="759"/>
      <c r="R2" s="759"/>
      <c r="S2" s="759"/>
      <c r="T2" s="759"/>
      <c r="U2" s="759"/>
      <c r="V2" s="466"/>
      <c r="W2" s="466"/>
      <c r="X2" s="466"/>
      <c r="Y2" s="466"/>
      <c r="Z2" s="466"/>
      <c r="AA2" s="466"/>
    </row>
    <row r="3" spans="18:20" ht="14.25" customHeight="1" thickBot="1">
      <c r="R3" s="594" t="s">
        <v>81</v>
      </c>
      <c r="S3" s="595"/>
      <c r="T3" s="520" t="s">
        <v>85</v>
      </c>
    </row>
    <row r="4" spans="1:24" ht="31.5" customHeight="1" thickBot="1">
      <c r="A4" s="760" t="s">
        <v>6</v>
      </c>
      <c r="B4" s="761" t="s">
        <v>7</v>
      </c>
      <c r="C4" s="762" t="s">
        <v>8</v>
      </c>
      <c r="D4" s="730" t="s">
        <v>83</v>
      </c>
      <c r="E4" s="730" t="s">
        <v>84</v>
      </c>
      <c r="F4" s="763" t="s">
        <v>50</v>
      </c>
      <c r="G4" s="763"/>
      <c r="H4" s="730" t="s">
        <v>82</v>
      </c>
      <c r="I4" s="756" t="s">
        <v>9</v>
      </c>
      <c r="J4" s="756"/>
      <c r="K4" s="756"/>
      <c r="L4" s="756"/>
      <c r="M4" s="756"/>
      <c r="N4" s="756"/>
      <c r="O4" s="756"/>
      <c r="P4" s="756"/>
      <c r="Q4" s="756"/>
      <c r="R4" s="756"/>
      <c r="S4" s="756"/>
      <c r="T4" s="756"/>
      <c r="U4" s="756"/>
      <c r="V4" s="1"/>
      <c r="W4" s="1"/>
      <c r="X4" s="1"/>
    </row>
    <row r="5" spans="1:26" ht="23.25" customHeight="1" thickBot="1">
      <c r="A5" s="760"/>
      <c r="B5" s="761"/>
      <c r="C5" s="762"/>
      <c r="D5" s="731"/>
      <c r="E5" s="731"/>
      <c r="F5" s="446" t="s">
        <v>49</v>
      </c>
      <c r="G5" s="447" t="s">
        <v>10</v>
      </c>
      <c r="H5" s="731"/>
      <c r="I5" s="757" t="s">
        <v>4</v>
      </c>
      <c r="J5" s="758"/>
      <c r="K5" s="447" t="s">
        <v>3</v>
      </c>
      <c r="L5" s="447" t="s">
        <v>0</v>
      </c>
      <c r="M5" s="447" t="s">
        <v>1</v>
      </c>
      <c r="N5" s="447" t="s">
        <v>5</v>
      </c>
      <c r="O5" s="447" t="s">
        <v>11</v>
      </c>
      <c r="P5" s="447" t="s">
        <v>12</v>
      </c>
      <c r="Q5" s="447" t="s">
        <v>13</v>
      </c>
      <c r="R5" s="447" t="s">
        <v>14</v>
      </c>
      <c r="S5" s="447" t="s">
        <v>15</v>
      </c>
      <c r="T5" s="447" t="s">
        <v>16</v>
      </c>
      <c r="U5" s="447" t="s">
        <v>17</v>
      </c>
      <c r="V5" s="517"/>
      <c r="W5" s="518"/>
      <c r="X5" s="518"/>
      <c r="Y5" s="518"/>
      <c r="Z5" s="518"/>
    </row>
    <row r="6" spans="1:26" ht="16.5" thickBot="1">
      <c r="A6" s="19"/>
      <c r="B6" s="19"/>
      <c r="C6" s="19"/>
      <c r="D6" s="524"/>
      <c r="E6" s="19"/>
      <c r="F6" s="448"/>
      <c r="G6" s="22"/>
      <c r="H6" s="22"/>
      <c r="I6" s="415" t="s">
        <v>49</v>
      </c>
      <c r="J6" s="381" t="s">
        <v>10</v>
      </c>
      <c r="K6" s="449"/>
      <c r="L6" s="450"/>
      <c r="M6" s="449"/>
      <c r="N6" s="450"/>
      <c r="O6" s="449"/>
      <c r="P6" s="450"/>
      <c r="Q6" s="449"/>
      <c r="R6" s="450"/>
      <c r="S6" s="449"/>
      <c r="T6" s="449"/>
      <c r="U6" s="450"/>
      <c r="V6" s="517"/>
      <c r="W6" s="518"/>
      <c r="X6" s="518"/>
      <c r="Y6" s="518"/>
      <c r="Z6" s="518"/>
    </row>
    <row r="7" spans="1:26" ht="16.5" thickBot="1">
      <c r="A7" s="451">
        <v>1</v>
      </c>
      <c r="B7" s="603" t="s">
        <v>18</v>
      </c>
      <c r="C7" s="604" t="s">
        <v>19</v>
      </c>
      <c r="D7" s="605">
        <v>559.4</v>
      </c>
      <c r="E7" s="606">
        <v>45.84</v>
      </c>
      <c r="F7" s="452">
        <v>330</v>
      </c>
      <c r="G7" s="97">
        <v>39.4</v>
      </c>
      <c r="H7" s="452">
        <v>250</v>
      </c>
      <c r="I7" s="452">
        <v>55</v>
      </c>
      <c r="J7" s="723">
        <v>84.4</v>
      </c>
      <c r="K7" s="452">
        <v>50</v>
      </c>
      <c r="L7" s="452">
        <v>40</v>
      </c>
      <c r="M7" s="452">
        <v>40</v>
      </c>
      <c r="N7" s="452">
        <v>40</v>
      </c>
      <c r="O7" s="452">
        <v>25</v>
      </c>
      <c r="P7" s="452">
        <v>0</v>
      </c>
      <c r="Q7" s="591">
        <v>0</v>
      </c>
      <c r="R7" s="591">
        <v>0</v>
      </c>
      <c r="S7" s="591">
        <v>0</v>
      </c>
      <c r="T7" s="591">
        <v>0</v>
      </c>
      <c r="U7" s="591">
        <v>0</v>
      </c>
      <c r="V7" s="517"/>
      <c r="W7" s="518"/>
      <c r="X7" s="518"/>
      <c r="Y7" s="518"/>
      <c r="Z7" s="518"/>
    </row>
    <row r="8" spans="1:26" ht="15.75" thickBot="1">
      <c r="A8" s="454"/>
      <c r="B8" s="455" t="s">
        <v>20</v>
      </c>
      <c r="C8" s="23" t="s">
        <v>19</v>
      </c>
      <c r="D8" s="596">
        <v>271.9</v>
      </c>
      <c r="E8" s="136">
        <v>6.14</v>
      </c>
      <c r="F8" s="456">
        <v>150</v>
      </c>
      <c r="G8" s="457">
        <v>15</v>
      </c>
      <c r="H8" s="456">
        <v>90</v>
      </c>
      <c r="I8" s="456">
        <v>19.8</v>
      </c>
      <c r="J8" s="723">
        <v>32.8</v>
      </c>
      <c r="K8" s="456">
        <v>18</v>
      </c>
      <c r="L8" s="456">
        <v>14.4</v>
      </c>
      <c r="M8" s="456">
        <v>14.4</v>
      </c>
      <c r="N8" s="456">
        <v>14.4</v>
      </c>
      <c r="O8" s="456">
        <v>9</v>
      </c>
      <c r="P8" s="456">
        <v>0</v>
      </c>
      <c r="Q8" s="465">
        <v>0</v>
      </c>
      <c r="R8" s="465">
        <v>0</v>
      </c>
      <c r="S8" s="465">
        <v>0</v>
      </c>
      <c r="T8" s="465">
        <v>0</v>
      </c>
      <c r="U8" s="465">
        <v>0</v>
      </c>
      <c r="V8" s="517"/>
      <c r="W8" s="518"/>
      <c r="X8" s="518"/>
      <c r="Y8" s="518"/>
      <c r="Z8" s="518"/>
    </row>
    <row r="9" spans="1:26" ht="15.75" thickBot="1">
      <c r="A9" s="454"/>
      <c r="B9" s="455" t="s">
        <v>21</v>
      </c>
      <c r="C9" s="23" t="s">
        <v>19</v>
      </c>
      <c r="D9" s="597">
        <v>287.5</v>
      </c>
      <c r="E9" s="93">
        <v>39.7</v>
      </c>
      <c r="F9" s="456">
        <v>180</v>
      </c>
      <c r="G9" s="457">
        <v>24.4</v>
      </c>
      <c r="H9" s="456">
        <v>160</v>
      </c>
      <c r="I9" s="456">
        <v>35.2</v>
      </c>
      <c r="J9" s="723">
        <v>33</v>
      </c>
      <c r="K9" s="456">
        <v>32</v>
      </c>
      <c r="L9" s="456">
        <v>25.6</v>
      </c>
      <c r="M9" s="456">
        <v>25.6</v>
      </c>
      <c r="N9" s="456">
        <v>25.6</v>
      </c>
      <c r="O9" s="456">
        <v>16</v>
      </c>
      <c r="P9" s="456">
        <v>0</v>
      </c>
      <c r="Q9" s="465">
        <v>0</v>
      </c>
      <c r="R9" s="465">
        <v>0</v>
      </c>
      <c r="S9" s="465">
        <v>0</v>
      </c>
      <c r="T9" s="465">
        <v>0</v>
      </c>
      <c r="U9" s="465">
        <v>0</v>
      </c>
      <c r="V9" s="517"/>
      <c r="W9" s="518"/>
      <c r="X9" s="518"/>
      <c r="Y9" s="518"/>
      <c r="Z9" s="518"/>
    </row>
    <row r="10" spans="1:26" ht="16.5" thickBot="1">
      <c r="A10" s="459">
        <v>2</v>
      </c>
      <c r="B10" s="32" t="s">
        <v>22</v>
      </c>
      <c r="C10" s="604" t="s">
        <v>19</v>
      </c>
      <c r="D10" s="607">
        <v>222.4</v>
      </c>
      <c r="E10" s="608">
        <v>6.14</v>
      </c>
      <c r="F10" s="452">
        <v>12</v>
      </c>
      <c r="G10" s="97">
        <v>2</v>
      </c>
      <c r="H10" s="452">
        <v>90</v>
      </c>
      <c r="I10" s="452">
        <v>19.8</v>
      </c>
      <c r="J10" s="723">
        <v>18.6</v>
      </c>
      <c r="K10" s="452">
        <v>18</v>
      </c>
      <c r="L10" s="452">
        <v>14.4</v>
      </c>
      <c r="M10" s="452">
        <v>14.4</v>
      </c>
      <c r="N10" s="452">
        <v>14.4</v>
      </c>
      <c r="O10" s="452">
        <v>9</v>
      </c>
      <c r="P10" s="452">
        <v>0</v>
      </c>
      <c r="Q10" s="591">
        <v>0</v>
      </c>
      <c r="R10" s="591">
        <v>0</v>
      </c>
      <c r="S10" s="591">
        <v>0</v>
      </c>
      <c r="T10" s="591">
        <v>0</v>
      </c>
      <c r="U10" s="591">
        <v>0</v>
      </c>
      <c r="V10" s="517"/>
      <c r="W10" s="518"/>
      <c r="X10" s="518"/>
      <c r="Y10" s="518"/>
      <c r="Z10" s="518"/>
    </row>
    <row r="11" spans="1:26" ht="16.5" thickBot="1">
      <c r="A11" s="460">
        <v>3</v>
      </c>
      <c r="B11" s="33" t="s">
        <v>23</v>
      </c>
      <c r="C11" s="22" t="s">
        <v>19</v>
      </c>
      <c r="D11" s="599">
        <v>0</v>
      </c>
      <c r="E11" s="600">
        <v>0</v>
      </c>
      <c r="F11" s="456"/>
      <c r="G11" s="457"/>
      <c r="H11" s="456">
        <v>0</v>
      </c>
      <c r="I11" s="458">
        <v>0</v>
      </c>
      <c r="J11" s="691">
        <v>0</v>
      </c>
      <c r="K11" s="458">
        <v>0</v>
      </c>
      <c r="L11" s="458">
        <v>0</v>
      </c>
      <c r="M11" s="458">
        <v>0</v>
      </c>
      <c r="N11" s="458">
        <v>0</v>
      </c>
      <c r="O11" s="458">
        <v>0</v>
      </c>
      <c r="P11" s="458">
        <v>0</v>
      </c>
      <c r="Q11" s="458">
        <v>0</v>
      </c>
      <c r="R11" s="458">
        <v>0</v>
      </c>
      <c r="S11" s="458">
        <v>0</v>
      </c>
      <c r="T11" s="458">
        <v>0</v>
      </c>
      <c r="U11" s="458">
        <v>0</v>
      </c>
      <c r="V11" s="517"/>
      <c r="W11" s="518"/>
      <c r="X11" s="518"/>
      <c r="Y11" s="518"/>
      <c r="Z11" s="518"/>
    </row>
    <row r="12" spans="1:26" ht="16.5" thickBot="1">
      <c r="A12" s="459">
        <v>4</v>
      </c>
      <c r="B12" s="32" t="s">
        <v>24</v>
      </c>
      <c r="C12" s="604" t="s">
        <v>19</v>
      </c>
      <c r="D12" s="607">
        <v>386.8</v>
      </c>
      <c r="E12" s="608">
        <v>65.85</v>
      </c>
      <c r="F12" s="452">
        <v>120</v>
      </c>
      <c r="G12" s="97">
        <v>0</v>
      </c>
      <c r="H12" s="452">
        <v>138.5</v>
      </c>
      <c r="I12" s="452">
        <v>22</v>
      </c>
      <c r="J12" s="723">
        <v>20.1</v>
      </c>
      <c r="K12" s="452">
        <v>22</v>
      </c>
      <c r="L12" s="452">
        <v>22</v>
      </c>
      <c r="M12" s="452">
        <v>25</v>
      </c>
      <c r="N12" s="452">
        <v>25</v>
      </c>
      <c r="O12" s="452">
        <v>22.5</v>
      </c>
      <c r="P12" s="452">
        <v>0</v>
      </c>
      <c r="Q12" s="591">
        <v>0</v>
      </c>
      <c r="R12" s="591">
        <v>0</v>
      </c>
      <c r="S12" s="591">
        <v>0</v>
      </c>
      <c r="T12" s="591">
        <v>0</v>
      </c>
      <c r="U12" s="591">
        <v>0</v>
      </c>
      <c r="V12" s="517"/>
      <c r="W12" s="518"/>
      <c r="X12" s="518"/>
      <c r="Y12" s="518"/>
      <c r="Z12" s="518"/>
    </row>
    <row r="13" spans="1:26" ht="16.5" thickBot="1">
      <c r="A13" s="461">
        <v>5</v>
      </c>
      <c r="B13" s="34" t="s">
        <v>25</v>
      </c>
      <c r="C13" s="23" t="s">
        <v>19</v>
      </c>
      <c r="D13" s="597">
        <v>6.4</v>
      </c>
      <c r="E13" s="600">
        <v>0</v>
      </c>
      <c r="F13" s="456">
        <v>6</v>
      </c>
      <c r="G13" s="457">
        <v>0</v>
      </c>
      <c r="H13" s="456">
        <v>6</v>
      </c>
      <c r="I13" s="465">
        <v>0</v>
      </c>
      <c r="J13" s="691">
        <v>0</v>
      </c>
      <c r="K13" s="465">
        <v>0</v>
      </c>
      <c r="L13" s="465">
        <v>0</v>
      </c>
      <c r="M13" s="465">
        <v>0</v>
      </c>
      <c r="N13" s="465">
        <v>0</v>
      </c>
      <c r="O13" s="465">
        <v>2</v>
      </c>
      <c r="P13" s="465">
        <v>2</v>
      </c>
      <c r="Q13" s="465">
        <v>2</v>
      </c>
      <c r="R13" s="465">
        <v>0</v>
      </c>
      <c r="S13" s="465">
        <v>0</v>
      </c>
      <c r="T13" s="465">
        <v>0</v>
      </c>
      <c r="U13" s="465">
        <v>0</v>
      </c>
      <c r="V13" s="517"/>
      <c r="W13" s="518"/>
      <c r="X13" s="518"/>
      <c r="Y13" s="518"/>
      <c r="Z13" s="518"/>
    </row>
    <row r="14" spans="1:26" ht="16.5" thickBot="1">
      <c r="A14" s="459">
        <v>6</v>
      </c>
      <c r="B14" s="32" t="s">
        <v>26</v>
      </c>
      <c r="C14" s="604" t="s">
        <v>19</v>
      </c>
      <c r="D14" s="607">
        <v>19.6</v>
      </c>
      <c r="E14" s="608">
        <v>0.369</v>
      </c>
      <c r="F14" s="452">
        <v>18</v>
      </c>
      <c r="G14" s="97">
        <v>1</v>
      </c>
      <c r="H14" s="452">
        <v>18</v>
      </c>
      <c r="I14" s="452">
        <v>0.5</v>
      </c>
      <c r="J14" s="691">
        <v>1</v>
      </c>
      <c r="K14" s="591">
        <v>0.5</v>
      </c>
      <c r="L14" s="591">
        <v>2</v>
      </c>
      <c r="M14" s="591">
        <v>2</v>
      </c>
      <c r="N14" s="591">
        <v>2</v>
      </c>
      <c r="O14" s="591">
        <v>3</v>
      </c>
      <c r="P14" s="591">
        <v>2</v>
      </c>
      <c r="Q14" s="591">
        <v>2</v>
      </c>
      <c r="R14" s="591">
        <v>2</v>
      </c>
      <c r="S14" s="593">
        <v>2</v>
      </c>
      <c r="T14" s="453"/>
      <c r="U14" s="453"/>
      <c r="V14" s="517"/>
      <c r="W14" s="518"/>
      <c r="X14" s="518"/>
      <c r="Y14" s="518"/>
      <c r="Z14" s="518"/>
    </row>
    <row r="15" spans="1:26" ht="16.5" thickBot="1">
      <c r="A15" s="461">
        <v>7</v>
      </c>
      <c r="B15" s="34" t="s">
        <v>27</v>
      </c>
      <c r="C15" s="23" t="s">
        <v>19</v>
      </c>
      <c r="D15" s="599">
        <v>15</v>
      </c>
      <c r="E15" s="93">
        <v>0.89</v>
      </c>
      <c r="F15" s="456">
        <v>12</v>
      </c>
      <c r="G15" s="457">
        <v>0.112</v>
      </c>
      <c r="H15" s="456">
        <v>12</v>
      </c>
      <c r="I15" s="465">
        <v>1</v>
      </c>
      <c r="J15" s="691">
        <v>0</v>
      </c>
      <c r="K15" s="465">
        <v>1</v>
      </c>
      <c r="L15" s="465">
        <v>1</v>
      </c>
      <c r="M15" s="465">
        <v>1</v>
      </c>
      <c r="N15" s="465">
        <v>1</v>
      </c>
      <c r="O15" s="465">
        <v>1</v>
      </c>
      <c r="P15" s="465">
        <v>1</v>
      </c>
      <c r="Q15" s="465">
        <v>1</v>
      </c>
      <c r="R15" s="465">
        <v>1</v>
      </c>
      <c r="S15" s="465">
        <v>1</v>
      </c>
      <c r="T15" s="465">
        <v>1</v>
      </c>
      <c r="U15" s="465">
        <v>1</v>
      </c>
      <c r="V15" s="517"/>
      <c r="W15" s="518"/>
      <c r="X15" s="518"/>
      <c r="Y15" s="518"/>
      <c r="Z15" s="518"/>
    </row>
    <row r="16" spans="1:26" ht="16.5" thickBot="1">
      <c r="A16" s="459">
        <v>8</v>
      </c>
      <c r="B16" s="32" t="s">
        <v>28</v>
      </c>
      <c r="C16" s="604" t="s">
        <v>29</v>
      </c>
      <c r="D16" s="609">
        <v>39</v>
      </c>
      <c r="E16" s="608">
        <v>2.47</v>
      </c>
      <c r="F16" s="452">
        <v>25</v>
      </c>
      <c r="G16" s="97">
        <v>0</v>
      </c>
      <c r="H16" s="452">
        <v>25</v>
      </c>
      <c r="I16" s="452">
        <v>8.25</v>
      </c>
      <c r="J16" s="723">
        <v>0</v>
      </c>
      <c r="K16" s="452">
        <v>5.5</v>
      </c>
      <c r="L16" s="452">
        <v>4.3</v>
      </c>
      <c r="M16" s="452">
        <v>2.75</v>
      </c>
      <c r="N16" s="452">
        <v>1.4</v>
      </c>
      <c r="O16" s="452">
        <v>1.4</v>
      </c>
      <c r="P16" s="452">
        <v>1.4</v>
      </c>
      <c r="Q16" s="591">
        <v>0</v>
      </c>
      <c r="R16" s="591">
        <v>0</v>
      </c>
      <c r="S16" s="591">
        <v>0</v>
      </c>
      <c r="T16" s="591">
        <v>0</v>
      </c>
      <c r="U16" s="591">
        <v>0</v>
      </c>
      <c r="V16" s="517"/>
      <c r="W16" s="518"/>
      <c r="X16" s="518"/>
      <c r="Y16" s="518"/>
      <c r="Z16" s="518"/>
    </row>
    <row r="17" spans="1:26" ht="16.5" thickBot="1">
      <c r="A17" s="461">
        <v>9</v>
      </c>
      <c r="B17" s="34" t="s">
        <v>30</v>
      </c>
      <c r="C17" s="23" t="s">
        <v>31</v>
      </c>
      <c r="D17" s="597">
        <v>75.8</v>
      </c>
      <c r="E17" s="600">
        <v>0</v>
      </c>
      <c r="F17" s="456">
        <v>50</v>
      </c>
      <c r="G17" s="457">
        <v>0</v>
      </c>
      <c r="H17" s="456">
        <v>50</v>
      </c>
      <c r="I17" s="465">
        <v>0</v>
      </c>
      <c r="J17" s="691">
        <v>0</v>
      </c>
      <c r="K17" s="465">
        <v>0</v>
      </c>
      <c r="L17" s="465">
        <v>0</v>
      </c>
      <c r="M17" s="465">
        <v>5</v>
      </c>
      <c r="N17" s="465">
        <v>8</v>
      </c>
      <c r="O17" s="465">
        <v>8</v>
      </c>
      <c r="P17" s="465">
        <v>10</v>
      </c>
      <c r="Q17" s="465">
        <v>8</v>
      </c>
      <c r="R17" s="465">
        <v>8</v>
      </c>
      <c r="S17" s="465">
        <v>3</v>
      </c>
      <c r="T17" s="465">
        <v>0</v>
      </c>
      <c r="U17" s="465">
        <v>0</v>
      </c>
      <c r="V17" s="517"/>
      <c r="W17" s="518"/>
      <c r="X17" s="518"/>
      <c r="Y17" s="518"/>
      <c r="Z17" s="518"/>
    </row>
    <row r="18" spans="1:26" ht="16.5" thickBot="1">
      <c r="A18" s="459">
        <v>10</v>
      </c>
      <c r="B18" s="32" t="s">
        <v>32</v>
      </c>
      <c r="C18" s="604" t="s">
        <v>2</v>
      </c>
      <c r="D18" s="610">
        <v>884</v>
      </c>
      <c r="E18" s="611">
        <v>0</v>
      </c>
      <c r="F18" s="462"/>
      <c r="G18" s="462"/>
      <c r="H18" s="591">
        <v>0</v>
      </c>
      <c r="I18" s="591">
        <v>0</v>
      </c>
      <c r="J18" s="724">
        <v>0</v>
      </c>
      <c r="K18" s="591">
        <v>0</v>
      </c>
      <c r="L18" s="591">
        <v>0</v>
      </c>
      <c r="M18" s="591">
        <v>0</v>
      </c>
      <c r="N18" s="591">
        <v>0</v>
      </c>
      <c r="O18" s="591">
        <v>0</v>
      </c>
      <c r="P18" s="591">
        <v>0</v>
      </c>
      <c r="Q18" s="591">
        <v>0</v>
      </c>
      <c r="R18" s="591">
        <v>0</v>
      </c>
      <c r="S18" s="591">
        <v>0</v>
      </c>
      <c r="T18" s="591">
        <v>0</v>
      </c>
      <c r="U18" s="591">
        <v>0</v>
      </c>
      <c r="V18" s="517"/>
      <c r="W18" s="518"/>
      <c r="X18" s="518"/>
      <c r="Y18" s="518"/>
      <c r="Z18" s="518"/>
    </row>
    <row r="19" spans="1:26" ht="16.5" thickBot="1">
      <c r="A19" s="461">
        <v>11</v>
      </c>
      <c r="B19" s="34" t="s">
        <v>33</v>
      </c>
      <c r="C19" s="23" t="s">
        <v>41</v>
      </c>
      <c r="D19" s="598">
        <v>0</v>
      </c>
      <c r="E19" s="602">
        <v>0</v>
      </c>
      <c r="F19" s="456"/>
      <c r="G19" s="457"/>
      <c r="H19" s="465">
        <v>0</v>
      </c>
      <c r="I19" s="465">
        <v>0</v>
      </c>
      <c r="J19" s="724">
        <v>0</v>
      </c>
      <c r="K19" s="465">
        <v>0</v>
      </c>
      <c r="L19" s="465">
        <v>0</v>
      </c>
      <c r="M19" s="465">
        <v>0</v>
      </c>
      <c r="N19" s="465">
        <v>0</v>
      </c>
      <c r="O19" s="465">
        <v>0</v>
      </c>
      <c r="P19" s="465">
        <v>0</v>
      </c>
      <c r="Q19" s="465">
        <v>0</v>
      </c>
      <c r="R19" s="465">
        <v>0</v>
      </c>
      <c r="S19" s="465">
        <v>0</v>
      </c>
      <c r="T19" s="465">
        <v>0</v>
      </c>
      <c r="U19" s="465">
        <v>0</v>
      </c>
      <c r="V19" s="517"/>
      <c r="W19" s="518"/>
      <c r="X19" s="518"/>
      <c r="Y19" s="518"/>
      <c r="Z19" s="518"/>
    </row>
    <row r="20" spans="1:26" ht="16.5" thickBot="1">
      <c r="A20" s="461">
        <v>12</v>
      </c>
      <c r="B20" s="32" t="s">
        <v>34</v>
      </c>
      <c r="C20" s="604" t="s">
        <v>35</v>
      </c>
      <c r="D20" s="612">
        <v>4000</v>
      </c>
      <c r="E20" s="613">
        <v>0</v>
      </c>
      <c r="F20" s="452"/>
      <c r="G20" s="97"/>
      <c r="H20" s="591">
        <v>0</v>
      </c>
      <c r="I20" s="591">
        <v>0</v>
      </c>
      <c r="J20" s="724">
        <v>0</v>
      </c>
      <c r="K20" s="591">
        <v>0</v>
      </c>
      <c r="L20" s="591">
        <v>0</v>
      </c>
      <c r="M20" s="591">
        <v>0</v>
      </c>
      <c r="N20" s="591">
        <v>0</v>
      </c>
      <c r="O20" s="591">
        <v>0</v>
      </c>
      <c r="P20" s="591">
        <v>0</v>
      </c>
      <c r="Q20" s="591">
        <v>0</v>
      </c>
      <c r="R20" s="591">
        <v>0</v>
      </c>
      <c r="S20" s="591">
        <v>0</v>
      </c>
      <c r="T20" s="591">
        <v>0</v>
      </c>
      <c r="U20" s="591">
        <v>0</v>
      </c>
      <c r="V20" s="517"/>
      <c r="W20" s="518"/>
      <c r="X20" s="518"/>
      <c r="Y20" s="518"/>
      <c r="Z20" s="518"/>
    </row>
    <row r="21" spans="1:26" ht="16.5" thickBot="1">
      <c r="A21" s="459">
        <v>13</v>
      </c>
      <c r="B21" s="33" t="s">
        <v>36</v>
      </c>
      <c r="C21" s="22" t="s">
        <v>2</v>
      </c>
      <c r="D21" s="601">
        <v>256</v>
      </c>
      <c r="E21" s="602">
        <v>0</v>
      </c>
      <c r="F21" s="463"/>
      <c r="G21" s="463"/>
      <c r="H21" s="465">
        <v>0</v>
      </c>
      <c r="I21" s="465">
        <v>0</v>
      </c>
      <c r="J21" s="724">
        <v>0</v>
      </c>
      <c r="K21" s="465">
        <v>0</v>
      </c>
      <c r="L21" s="465">
        <v>0</v>
      </c>
      <c r="M21" s="465">
        <v>0</v>
      </c>
      <c r="N21" s="465">
        <v>0</v>
      </c>
      <c r="O21" s="465">
        <v>0</v>
      </c>
      <c r="P21" s="465">
        <v>0</v>
      </c>
      <c r="Q21" s="465">
        <v>0</v>
      </c>
      <c r="R21" s="465">
        <v>0</v>
      </c>
      <c r="S21" s="465">
        <v>0</v>
      </c>
      <c r="T21" s="465">
        <v>0</v>
      </c>
      <c r="U21" s="465">
        <v>0</v>
      </c>
      <c r="V21" s="517"/>
      <c r="W21" s="518"/>
      <c r="X21" s="518"/>
      <c r="Y21" s="518"/>
      <c r="Z21" s="518"/>
    </row>
    <row r="22" spans="1:26" ht="16.5" thickBot="1">
      <c r="A22" s="461">
        <v>14</v>
      </c>
      <c r="B22" s="32" t="s">
        <v>37</v>
      </c>
      <c r="C22" s="604" t="s">
        <v>2</v>
      </c>
      <c r="D22" s="614">
        <v>856</v>
      </c>
      <c r="E22" s="613">
        <v>0</v>
      </c>
      <c r="F22" s="462"/>
      <c r="G22" s="462"/>
      <c r="H22" s="591">
        <v>0</v>
      </c>
      <c r="I22" s="591">
        <v>0</v>
      </c>
      <c r="J22" s="724">
        <v>0</v>
      </c>
      <c r="K22" s="591">
        <v>0</v>
      </c>
      <c r="L22" s="591">
        <v>0</v>
      </c>
      <c r="M22" s="591">
        <v>0</v>
      </c>
      <c r="N22" s="591">
        <v>0</v>
      </c>
      <c r="O22" s="591">
        <v>0</v>
      </c>
      <c r="P22" s="591">
        <v>0</v>
      </c>
      <c r="Q22" s="591">
        <v>0</v>
      </c>
      <c r="R22" s="591">
        <v>0</v>
      </c>
      <c r="S22" s="591">
        <v>0</v>
      </c>
      <c r="T22" s="591">
        <v>0</v>
      </c>
      <c r="U22" s="591">
        <v>0</v>
      </c>
      <c r="V22" s="517"/>
      <c r="W22" s="518"/>
      <c r="X22" s="518"/>
      <c r="Y22" s="518"/>
      <c r="Z22" s="518"/>
    </row>
    <row r="23" spans="1:26" ht="16.5" thickBot="1">
      <c r="A23" s="461">
        <v>15</v>
      </c>
      <c r="B23" s="33" t="s">
        <v>38</v>
      </c>
      <c r="C23" s="22" t="s">
        <v>35</v>
      </c>
      <c r="D23" s="598">
        <v>37143</v>
      </c>
      <c r="E23" s="602">
        <v>0</v>
      </c>
      <c r="F23" s="464"/>
      <c r="G23" s="464"/>
      <c r="H23" s="592">
        <v>0</v>
      </c>
      <c r="I23" s="592">
        <v>0</v>
      </c>
      <c r="J23" s="725">
        <v>0</v>
      </c>
      <c r="K23" s="592">
        <v>0</v>
      </c>
      <c r="L23" s="592">
        <v>0</v>
      </c>
      <c r="M23" s="592">
        <v>0</v>
      </c>
      <c r="N23" s="592">
        <v>0</v>
      </c>
      <c r="O23" s="592">
        <v>0</v>
      </c>
      <c r="P23" s="592">
        <v>0</v>
      </c>
      <c r="Q23" s="592">
        <v>0</v>
      </c>
      <c r="R23" s="592">
        <v>0</v>
      </c>
      <c r="S23" s="592">
        <v>0</v>
      </c>
      <c r="T23" s="592">
        <v>0</v>
      </c>
      <c r="U23" s="592">
        <v>0</v>
      </c>
      <c r="V23" s="517"/>
      <c r="W23" s="518"/>
      <c r="X23" s="518"/>
      <c r="Y23" s="518"/>
      <c r="Z23" s="518"/>
    </row>
    <row r="24" spans="1:26" ht="32.25" thickBot="1">
      <c r="A24" s="459">
        <v>16</v>
      </c>
      <c r="B24" s="32" t="s">
        <v>39</v>
      </c>
      <c r="C24" s="604" t="s">
        <v>2</v>
      </c>
      <c r="D24" s="607">
        <v>256</v>
      </c>
      <c r="E24" s="615">
        <v>0</v>
      </c>
      <c r="F24" s="462"/>
      <c r="G24" s="462"/>
      <c r="H24" s="591">
        <v>0</v>
      </c>
      <c r="I24" s="591">
        <v>0</v>
      </c>
      <c r="J24" s="724">
        <v>0</v>
      </c>
      <c r="K24" s="591">
        <v>0</v>
      </c>
      <c r="L24" s="591">
        <v>0</v>
      </c>
      <c r="M24" s="591">
        <v>0</v>
      </c>
      <c r="N24" s="591">
        <v>0</v>
      </c>
      <c r="O24" s="591">
        <v>0</v>
      </c>
      <c r="P24" s="591">
        <v>0</v>
      </c>
      <c r="Q24" s="591">
        <v>0</v>
      </c>
      <c r="R24" s="591">
        <v>0</v>
      </c>
      <c r="S24" s="591">
        <v>0</v>
      </c>
      <c r="T24" s="591">
        <v>0</v>
      </c>
      <c r="U24" s="591">
        <v>0</v>
      </c>
      <c r="V24" s="517"/>
      <c r="W24" s="518"/>
      <c r="X24" s="518"/>
      <c r="Y24" s="518"/>
      <c r="Z24" s="518"/>
    </row>
    <row r="25" spans="1:26" ht="16.5" thickBot="1">
      <c r="A25" s="461">
        <v>17</v>
      </c>
      <c r="B25" s="33" t="s">
        <v>40</v>
      </c>
      <c r="C25" s="22" t="s">
        <v>41</v>
      </c>
      <c r="D25" s="597">
        <v>169.376</v>
      </c>
      <c r="E25" s="600">
        <v>0</v>
      </c>
      <c r="F25" s="465"/>
      <c r="G25" s="457"/>
      <c r="H25" s="465">
        <v>0</v>
      </c>
      <c r="I25" s="465">
        <v>0</v>
      </c>
      <c r="J25" s="724">
        <v>0</v>
      </c>
      <c r="K25" s="465">
        <v>0</v>
      </c>
      <c r="L25" s="465">
        <v>0</v>
      </c>
      <c r="M25" s="465">
        <v>0</v>
      </c>
      <c r="N25" s="465">
        <v>0</v>
      </c>
      <c r="O25" s="465">
        <v>0</v>
      </c>
      <c r="P25" s="465">
        <v>0</v>
      </c>
      <c r="Q25" s="465">
        <v>0</v>
      </c>
      <c r="R25" s="465">
        <v>0</v>
      </c>
      <c r="S25" s="465">
        <v>0</v>
      </c>
      <c r="T25" s="465">
        <v>0</v>
      </c>
      <c r="U25" s="465">
        <v>0</v>
      </c>
      <c r="V25" s="517"/>
      <c r="W25" s="518"/>
      <c r="X25" s="518"/>
      <c r="Y25" s="518"/>
      <c r="Z25" s="518"/>
    </row>
    <row r="26" spans="1:26" ht="16.5" thickBot="1">
      <c r="A26" s="461">
        <v>18</v>
      </c>
      <c r="B26" s="33" t="s">
        <v>42</v>
      </c>
      <c r="C26" s="22" t="s">
        <v>41</v>
      </c>
      <c r="D26" s="601">
        <v>0</v>
      </c>
      <c r="E26" s="602">
        <v>0</v>
      </c>
      <c r="F26" s="457"/>
      <c r="G26" s="457"/>
      <c r="H26" s="465">
        <v>0</v>
      </c>
      <c r="I26" s="465">
        <v>0</v>
      </c>
      <c r="J26" s="724">
        <v>0</v>
      </c>
      <c r="K26" s="465">
        <v>0</v>
      </c>
      <c r="L26" s="465">
        <v>0</v>
      </c>
      <c r="M26" s="465">
        <v>0</v>
      </c>
      <c r="N26" s="465">
        <v>0</v>
      </c>
      <c r="O26" s="465">
        <v>0</v>
      </c>
      <c r="P26" s="465">
        <v>0</v>
      </c>
      <c r="Q26" s="465">
        <v>0</v>
      </c>
      <c r="R26" s="465">
        <v>0</v>
      </c>
      <c r="S26" s="465">
        <v>0</v>
      </c>
      <c r="T26" s="465">
        <v>0</v>
      </c>
      <c r="U26" s="465">
        <v>0</v>
      </c>
      <c r="V26" s="517"/>
      <c r="W26" s="518"/>
      <c r="X26" s="518"/>
      <c r="Y26" s="518"/>
      <c r="Z26" s="518"/>
    </row>
    <row r="27" spans="1:26" ht="16.5" thickBot="1">
      <c r="A27" s="459">
        <v>19</v>
      </c>
      <c r="B27" s="32" t="s">
        <v>43</v>
      </c>
      <c r="C27" s="604" t="s">
        <v>19</v>
      </c>
      <c r="D27" s="612">
        <v>0.028</v>
      </c>
      <c r="E27" s="613">
        <v>0</v>
      </c>
      <c r="F27" s="452"/>
      <c r="G27" s="97"/>
      <c r="H27" s="591">
        <v>0</v>
      </c>
      <c r="I27" s="591">
        <v>0</v>
      </c>
      <c r="J27" s="724">
        <v>0</v>
      </c>
      <c r="K27" s="591">
        <v>0</v>
      </c>
      <c r="L27" s="591">
        <v>0</v>
      </c>
      <c r="M27" s="591">
        <v>0</v>
      </c>
      <c r="N27" s="591">
        <v>0</v>
      </c>
      <c r="O27" s="591">
        <v>0</v>
      </c>
      <c r="P27" s="591">
        <v>0</v>
      </c>
      <c r="Q27" s="591">
        <v>0</v>
      </c>
      <c r="R27" s="591">
        <v>0</v>
      </c>
      <c r="S27" s="591">
        <v>0</v>
      </c>
      <c r="T27" s="591">
        <v>0</v>
      </c>
      <c r="U27" s="591">
        <v>0</v>
      </c>
      <c r="V27" s="517"/>
      <c r="W27" s="518"/>
      <c r="X27" s="518"/>
      <c r="Y27" s="518"/>
      <c r="Z27" s="518"/>
    </row>
    <row r="28" spans="1:26" ht="16.5" thickBot="1">
      <c r="A28" s="461">
        <v>20</v>
      </c>
      <c r="B28" s="33" t="s">
        <v>44</v>
      </c>
      <c r="C28" s="22" t="s">
        <v>45</v>
      </c>
      <c r="D28" s="601">
        <v>0</v>
      </c>
      <c r="E28" s="602">
        <v>0</v>
      </c>
      <c r="F28" s="457"/>
      <c r="G28" s="457"/>
      <c r="H28" s="465">
        <v>0</v>
      </c>
      <c r="I28" s="465">
        <v>0</v>
      </c>
      <c r="J28" s="724">
        <v>0</v>
      </c>
      <c r="K28" s="465">
        <v>0</v>
      </c>
      <c r="L28" s="465">
        <v>0</v>
      </c>
      <c r="M28" s="465">
        <v>0</v>
      </c>
      <c r="N28" s="465">
        <v>0</v>
      </c>
      <c r="O28" s="465">
        <v>0</v>
      </c>
      <c r="P28" s="465">
        <v>0</v>
      </c>
      <c r="Q28" s="465">
        <v>0</v>
      </c>
      <c r="R28" s="465">
        <v>0</v>
      </c>
      <c r="S28" s="465">
        <v>0</v>
      </c>
      <c r="T28" s="465">
        <v>0</v>
      </c>
      <c r="U28" s="465">
        <v>0</v>
      </c>
      <c r="V28" s="517"/>
      <c r="W28" s="518"/>
      <c r="X28" s="518"/>
      <c r="Y28" s="518"/>
      <c r="Z28" s="518"/>
    </row>
    <row r="29" spans="1:26" ht="16.5" thickBot="1">
      <c r="A29" s="461">
        <v>21</v>
      </c>
      <c r="B29" s="33" t="s">
        <v>46</v>
      </c>
      <c r="C29" s="22" t="s">
        <v>19</v>
      </c>
      <c r="D29" s="597">
        <v>0</v>
      </c>
      <c r="E29" s="600">
        <v>0</v>
      </c>
      <c r="F29" s="457"/>
      <c r="G29" s="457"/>
      <c r="H29" s="465">
        <v>0</v>
      </c>
      <c r="I29" s="465">
        <v>0</v>
      </c>
      <c r="J29" s="724">
        <v>0</v>
      </c>
      <c r="K29" s="465">
        <v>0</v>
      </c>
      <c r="L29" s="465">
        <v>0</v>
      </c>
      <c r="M29" s="465">
        <v>0</v>
      </c>
      <c r="N29" s="465">
        <v>0</v>
      </c>
      <c r="O29" s="465">
        <v>0</v>
      </c>
      <c r="P29" s="465">
        <v>0</v>
      </c>
      <c r="Q29" s="465">
        <v>0</v>
      </c>
      <c r="R29" s="465">
        <v>0</v>
      </c>
      <c r="S29" s="465">
        <v>0</v>
      </c>
      <c r="T29" s="465">
        <v>0</v>
      </c>
      <c r="U29" s="465">
        <v>0</v>
      </c>
      <c r="V29" s="517"/>
      <c r="W29" s="518"/>
      <c r="X29" s="518"/>
      <c r="Y29" s="518"/>
      <c r="Z29" s="518"/>
    </row>
    <row r="30" spans="1:26" ht="32.25" thickBot="1">
      <c r="A30" s="459">
        <v>22</v>
      </c>
      <c r="B30" s="32" t="s">
        <v>47</v>
      </c>
      <c r="C30" s="604" t="s">
        <v>19</v>
      </c>
      <c r="D30" s="616">
        <v>0</v>
      </c>
      <c r="E30" s="611">
        <v>0</v>
      </c>
      <c r="F30" s="617"/>
      <c r="G30" s="617"/>
      <c r="H30" s="618">
        <v>0</v>
      </c>
      <c r="I30" s="593">
        <v>0</v>
      </c>
      <c r="J30" s="726">
        <v>0</v>
      </c>
      <c r="K30" s="593">
        <v>0</v>
      </c>
      <c r="L30" s="593">
        <v>0</v>
      </c>
      <c r="M30" s="593">
        <v>0</v>
      </c>
      <c r="N30" s="593">
        <v>0</v>
      </c>
      <c r="O30" s="593">
        <v>0</v>
      </c>
      <c r="P30" s="593">
        <v>0</v>
      </c>
      <c r="Q30" s="593">
        <v>0</v>
      </c>
      <c r="R30" s="593">
        <v>0</v>
      </c>
      <c r="S30" s="593">
        <v>0</v>
      </c>
      <c r="T30" s="593">
        <v>0</v>
      </c>
      <c r="U30" s="593">
        <v>0</v>
      </c>
      <c r="V30" s="517"/>
      <c r="W30" s="518"/>
      <c r="X30" s="518"/>
      <c r="Y30" s="518"/>
      <c r="Z30" s="518"/>
    </row>
    <row r="31" spans="1:26" ht="16.5" thickBot="1">
      <c r="A31" s="461">
        <v>23</v>
      </c>
      <c r="B31" s="33" t="s">
        <v>48</v>
      </c>
      <c r="C31" s="22" t="s">
        <v>41</v>
      </c>
      <c r="D31" s="590">
        <v>3582</v>
      </c>
      <c r="E31" s="590">
        <v>110</v>
      </c>
      <c r="F31" s="457">
        <v>1000</v>
      </c>
      <c r="G31" s="457">
        <v>895</v>
      </c>
      <c r="H31" s="465">
        <v>1300</v>
      </c>
      <c r="I31" s="465">
        <v>380</v>
      </c>
      <c r="J31" s="724">
        <v>911</v>
      </c>
      <c r="K31" s="465">
        <v>80</v>
      </c>
      <c r="L31" s="465">
        <v>80</v>
      </c>
      <c r="M31" s="465">
        <v>80</v>
      </c>
      <c r="N31" s="465">
        <v>90</v>
      </c>
      <c r="O31" s="465">
        <v>90</v>
      </c>
      <c r="P31" s="465">
        <v>90</v>
      </c>
      <c r="Q31" s="465">
        <v>90</v>
      </c>
      <c r="R31" s="465">
        <v>90</v>
      </c>
      <c r="S31" s="465">
        <v>90</v>
      </c>
      <c r="T31" s="465">
        <v>80</v>
      </c>
      <c r="U31" s="465">
        <v>60</v>
      </c>
      <c r="V31" s="517"/>
      <c r="W31" s="518"/>
      <c r="X31" s="518"/>
      <c r="Y31" s="518"/>
      <c r="Z31" s="518"/>
    </row>
    <row r="32" spans="1:24" ht="15">
      <c r="A32" s="6"/>
      <c r="B32" s="7"/>
      <c r="C32" s="8"/>
      <c r="D32" s="8"/>
      <c r="E32" s="8"/>
      <c r="F32" s="9"/>
      <c r="G32" s="10"/>
      <c r="H32" s="10"/>
      <c r="I32" s="9"/>
      <c r="J32" s="11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ht="40.5" customHeight="1">
      <c r="A33" s="6"/>
      <c r="B33" s="732"/>
      <c r="C33" s="732"/>
      <c r="D33" s="732"/>
      <c r="E33" s="732"/>
      <c r="F33" s="732"/>
      <c r="G33" s="732"/>
      <c r="H33" s="732"/>
      <c r="I33" s="539"/>
      <c r="J33" s="539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15">
      <c r="A34" s="6"/>
      <c r="B34" s="7"/>
      <c r="C34" s="8"/>
      <c r="D34" s="8"/>
      <c r="E34" s="8"/>
      <c r="F34" s="9"/>
      <c r="G34" s="10"/>
      <c r="H34" s="10"/>
      <c r="I34" s="9"/>
      <c r="J34" s="11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5">
      <c r="A35" s="6"/>
      <c r="B35" s="7"/>
      <c r="C35" s="8"/>
      <c r="F35" s="9"/>
      <c r="G35" s="10"/>
      <c r="H35" s="10"/>
      <c r="I35" s="9"/>
      <c r="J35" s="11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</sheetData>
  <sheetProtection/>
  <mergeCells count="11">
    <mergeCell ref="D4:D5"/>
    <mergeCell ref="E4:E5"/>
    <mergeCell ref="B33:H33"/>
    <mergeCell ref="H4:H5"/>
    <mergeCell ref="I4:U4"/>
    <mergeCell ref="I5:J5"/>
    <mergeCell ref="A1:U2"/>
    <mergeCell ref="A4:A5"/>
    <mergeCell ref="B4:B5"/>
    <mergeCell ref="C4:C5"/>
    <mergeCell ref="F4:G4"/>
  </mergeCells>
  <printOptions/>
  <pageMargins left="0.8" right="0.5905511811023623" top="0.984251968503937" bottom="0.7874015748031497" header="0.5118110236220472" footer="0.5118110236220472"/>
  <pageSetup horizontalDpi="600" verticalDpi="600" orientation="landscape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"/>
  <sheetViews>
    <sheetView view="pageBreakPreview" zoomScale="85" zoomScaleNormal="85" zoomScaleSheetLayoutView="85" zoomScalePageLayoutView="0" workbookViewId="0" topLeftCell="A1">
      <selection activeCell="J9" sqref="J9"/>
    </sheetView>
  </sheetViews>
  <sheetFormatPr defaultColWidth="9.00390625" defaultRowHeight="12.75"/>
  <cols>
    <col min="1" max="1" width="4.00390625" style="0" customWidth="1"/>
    <col min="2" max="2" width="36.125" style="0" customWidth="1"/>
    <col min="4" max="4" width="19.75390625" style="0" customWidth="1"/>
    <col min="5" max="5" width="17.375" style="0" customWidth="1"/>
    <col min="6" max="6" width="9.25390625" style="0" hidden="1" customWidth="1"/>
    <col min="7" max="7" width="12.25390625" style="0" hidden="1" customWidth="1"/>
    <col min="8" max="8" width="12.25390625" style="0" customWidth="1"/>
    <col min="10" max="10" width="10.75390625" style="0" bestFit="1" customWidth="1"/>
    <col min="15" max="15" width="10.75390625" style="0" bestFit="1" customWidth="1"/>
    <col min="17" max="17" width="8.75390625" style="0" customWidth="1"/>
    <col min="21" max="21" width="9.75390625" style="0" customWidth="1"/>
  </cols>
  <sheetData>
    <row r="1" spans="1:27" ht="13.5" customHeight="1">
      <c r="A1" s="768" t="s">
        <v>58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  <c r="X1" s="768"/>
      <c r="Y1" s="768"/>
      <c r="Z1" s="768"/>
      <c r="AA1" s="768"/>
    </row>
    <row r="2" spans="1:27" ht="33" customHeight="1">
      <c r="A2" s="768"/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8"/>
      <c r="X2" s="768"/>
      <c r="Y2" s="768"/>
      <c r="Z2" s="768"/>
      <c r="AA2" s="768"/>
    </row>
    <row r="3" spans="18:20" ht="14.25" customHeight="1" thickBot="1">
      <c r="R3" s="519" t="s">
        <v>81</v>
      </c>
      <c r="T3" s="520" t="s">
        <v>85</v>
      </c>
    </row>
    <row r="4" spans="1:24" ht="31.5" customHeight="1" thickBot="1">
      <c r="A4" s="760" t="s">
        <v>6</v>
      </c>
      <c r="B4" s="761" t="s">
        <v>7</v>
      </c>
      <c r="C4" s="762" t="s">
        <v>8</v>
      </c>
      <c r="D4" s="764" t="s">
        <v>83</v>
      </c>
      <c r="E4" s="766" t="s">
        <v>84</v>
      </c>
      <c r="F4" s="763" t="s">
        <v>50</v>
      </c>
      <c r="G4" s="763"/>
      <c r="H4" s="730" t="s">
        <v>82</v>
      </c>
      <c r="I4" s="756" t="s">
        <v>9</v>
      </c>
      <c r="J4" s="756"/>
      <c r="K4" s="756"/>
      <c r="L4" s="756"/>
      <c r="M4" s="756"/>
      <c r="N4" s="756"/>
      <c r="O4" s="756"/>
      <c r="P4" s="756"/>
      <c r="Q4" s="756"/>
      <c r="R4" s="756"/>
      <c r="S4" s="756"/>
      <c r="T4" s="756"/>
      <c r="U4" s="756"/>
      <c r="V4" s="1"/>
      <c r="W4" s="1"/>
      <c r="X4" s="1"/>
    </row>
    <row r="5" spans="1:25" ht="23.25" customHeight="1" thickBot="1">
      <c r="A5" s="760"/>
      <c r="B5" s="761"/>
      <c r="C5" s="762"/>
      <c r="D5" s="765"/>
      <c r="E5" s="767"/>
      <c r="F5" s="446" t="s">
        <v>49</v>
      </c>
      <c r="G5" s="447" t="s">
        <v>10</v>
      </c>
      <c r="H5" s="731"/>
      <c r="I5" s="757" t="s">
        <v>4</v>
      </c>
      <c r="J5" s="758"/>
      <c r="K5" s="447" t="s">
        <v>3</v>
      </c>
      <c r="L5" s="447" t="s">
        <v>0</v>
      </c>
      <c r="M5" s="447" t="s">
        <v>1</v>
      </c>
      <c r="N5" s="447" t="s">
        <v>5</v>
      </c>
      <c r="O5" s="447" t="s">
        <v>11</v>
      </c>
      <c r="P5" s="447" t="s">
        <v>12</v>
      </c>
      <c r="Q5" s="447" t="s">
        <v>13</v>
      </c>
      <c r="R5" s="447" t="s">
        <v>14</v>
      </c>
      <c r="S5" s="447" t="s">
        <v>15</v>
      </c>
      <c r="T5" s="447" t="s">
        <v>16</v>
      </c>
      <c r="U5" s="447" t="s">
        <v>17</v>
      </c>
      <c r="V5" s="2"/>
      <c r="W5" s="2"/>
      <c r="X5" s="2"/>
      <c r="Y5" s="3"/>
    </row>
    <row r="6" spans="1:25" ht="16.5" thickBot="1">
      <c r="A6" s="19"/>
      <c r="B6" s="19"/>
      <c r="C6" s="19"/>
      <c r="D6" s="524"/>
      <c r="E6" s="19"/>
      <c r="F6" s="448"/>
      <c r="G6" s="22"/>
      <c r="H6" s="22"/>
      <c r="I6" s="415" t="s">
        <v>49</v>
      </c>
      <c r="J6" s="474" t="s">
        <v>10</v>
      </c>
      <c r="K6" s="449"/>
      <c r="L6" s="450"/>
      <c r="M6" s="449"/>
      <c r="N6" s="450"/>
      <c r="O6" s="449"/>
      <c r="P6" s="450"/>
      <c r="Q6" s="449"/>
      <c r="R6" s="450"/>
      <c r="S6" s="449"/>
      <c r="T6" s="449"/>
      <c r="U6" s="450"/>
      <c r="V6" s="2"/>
      <c r="W6" s="2"/>
      <c r="X6" s="2"/>
      <c r="Y6" s="3"/>
    </row>
    <row r="7" spans="1:25" ht="21.75" customHeight="1" thickBot="1">
      <c r="A7" s="619">
        <v>1</v>
      </c>
      <c r="B7" s="603" t="s">
        <v>18</v>
      </c>
      <c r="C7" s="604" t="s">
        <v>19</v>
      </c>
      <c r="D7" s="620">
        <f>9!D7+'10'!D7+'11'!D7+'12'!D7+'13'!D7+'14'!D7</f>
        <v>4753.051333082705</v>
      </c>
      <c r="E7" s="620">
        <f>9!E7+'10'!E7+'11'!E7+'12'!E7+'13'!E7+'14'!E7</f>
        <v>3573.081880743452</v>
      </c>
      <c r="F7" s="620">
        <f>9!F7+'10'!F7+'11'!F7+'12'!F7+'13'!F7+'14'!F7</f>
        <v>1591.571452339253</v>
      </c>
      <c r="G7" s="620">
        <f>9!G7+'10'!G7+'11'!G7+'12'!G7+'13'!G7+'14'!G7</f>
        <v>490.94</v>
      </c>
      <c r="H7" s="620">
        <f>9!H7+'10'!H7+'11'!H7+'12'!H7+'13'!H7+'14'!H7</f>
        <v>1100.631452339253</v>
      </c>
      <c r="I7" s="620">
        <f>9!I7+'10'!I7+'11'!I7+'12'!I7+'13'!I7+'14'!I7</f>
        <v>282.08</v>
      </c>
      <c r="J7" s="543">
        <f>9!J7+'10'!J7+'11'!J7+'12'!J7+'13'!J7+'14'!J7</f>
        <v>284.84000000000003</v>
      </c>
      <c r="K7" s="620">
        <f>9!K7+'10'!K7+'11'!K7+'12'!K7+'13'!K7+'14'!K7</f>
        <v>191.33359563464444</v>
      </c>
      <c r="L7" s="620">
        <f>9!L7+'10'!L7+'11'!L7+'12'!L7+'13'!L7+'14'!L7</f>
        <v>199.03359563464443</v>
      </c>
      <c r="M7" s="620">
        <f>9!M7+'10'!M7+'11'!M7+'12'!M7+'13'!M7+'14'!M7</f>
        <v>144.33574444444443</v>
      </c>
      <c r="N7" s="620">
        <f>9!N7+'10'!N7+'11'!N7+'12'!N7+'13'!N7+'14'!N7</f>
        <v>117.42314920524434</v>
      </c>
      <c r="O7" s="620">
        <f>9!O7+'10'!O7+'11'!O7+'12'!O7+'13'!O7+'14'!O7</f>
        <v>128.31474444444444</v>
      </c>
      <c r="P7" s="620">
        <f>9!P7+'10'!P7+'11'!P7+'12'!P7+'13'!P7+'14'!P7</f>
        <v>47.85574444444444</v>
      </c>
      <c r="Q7" s="620">
        <f>9!Q7+'10'!Q7+'11'!Q7+'12'!Q7+'13'!Q7+'14'!Q7</f>
        <v>47.85574444444444</v>
      </c>
      <c r="R7" s="620">
        <f>9!R7+'10'!R7+'11'!R7+'12'!R7+'13'!R7+'14'!R7</f>
        <v>15.910300000000001</v>
      </c>
      <c r="S7" s="620">
        <f>9!S7+'10'!S7+'11'!S7+'12'!S7+'13'!S7+'14'!S7</f>
        <v>0</v>
      </c>
      <c r="T7" s="620">
        <f>9!T7+'10'!T7+'11'!T7+'12'!T7+'13'!T7+'14'!T7</f>
        <v>0</v>
      </c>
      <c r="U7" s="620">
        <f>9!U7+'10'!U7+'11'!U7+'12'!U7+'13'!U7+'14'!U7</f>
        <v>0</v>
      </c>
      <c r="V7" s="4"/>
      <c r="W7" s="4"/>
      <c r="X7" s="4"/>
      <c r="Y7" s="3"/>
    </row>
    <row r="8" spans="1:25" ht="21" customHeight="1" thickBot="1">
      <c r="A8" s="454"/>
      <c r="B8" s="455" t="s">
        <v>20</v>
      </c>
      <c r="C8" s="23" t="s">
        <v>19</v>
      </c>
      <c r="D8" s="622">
        <f>9!D8+'10'!D8+'11'!D8+'12'!D8+'13'!D8+'14'!D8</f>
        <v>2462.920333082705</v>
      </c>
      <c r="E8" s="622">
        <f>9!E8+'10'!E8+'11'!E8+'12'!E8+'13'!E8+'14'!E8</f>
        <v>1676.009450743452</v>
      </c>
      <c r="F8" s="622">
        <f>9!F8+'10'!F8+'11'!F8+'12'!F8+'13'!F8+'14'!F8</f>
        <v>969.213882339253</v>
      </c>
      <c r="G8" s="622">
        <f>9!G8+'10'!G8+'11'!G8+'12'!G8+'13'!G8+'14'!G8</f>
        <v>264.71000000000004</v>
      </c>
      <c r="H8" s="622">
        <f>9!H8+'10'!H8+'11'!H8+'12'!H8+'13'!H8+'14'!H8</f>
        <v>704.5038823392529</v>
      </c>
      <c r="I8" s="622">
        <f>9!I8+'10'!I8+'11'!I8+'12'!I8+'13'!I8+'14'!I8</f>
        <v>181.8</v>
      </c>
      <c r="J8" s="624">
        <f>9!J8+'10'!J8+'11'!J8+'12'!J8+'13'!J8+'14'!J8</f>
        <v>178.05</v>
      </c>
      <c r="K8" s="622">
        <f>9!K8+'10'!K8+'11'!K8+'12'!K8+'13'!K8+'14'!K8</f>
        <v>124.38815119019999</v>
      </c>
      <c r="L8" s="622">
        <f>9!L8+'10'!L8+'11'!L8+'12'!L8+'13'!L8+'14'!L8</f>
        <v>137.0881511902</v>
      </c>
      <c r="M8" s="622">
        <f>9!M8+'10'!M8+'11'!M8+'12'!M8+'13'!M8+'14'!M8</f>
        <v>83.8203</v>
      </c>
      <c r="N8" s="622">
        <f>9!N8+'10'!N8+'11'!N8+'12'!N8+'13'!N8+'14'!N8</f>
        <v>60.9103</v>
      </c>
      <c r="O8" s="622">
        <f>9!O8+'10'!O8+'11'!O8+'12'!O8+'13'!O8+'14'!O8</f>
        <v>59.3693</v>
      </c>
      <c r="P8" s="622">
        <f>9!P8+'10'!P8+'11'!P8+'12'!P8+'13'!P8+'14'!P8</f>
        <v>25.210300000000004</v>
      </c>
      <c r="Q8" s="622">
        <f>9!Q8+'10'!Q8+'11'!Q8+'12'!Q8+'13'!Q8+'14'!Q8</f>
        <v>15.910300000000001</v>
      </c>
      <c r="R8" s="622">
        <f>9!R8+'10'!R8+'11'!R8+'12'!R8+'13'!R8+'14'!R8</f>
        <v>15.910300000000001</v>
      </c>
      <c r="S8" s="622">
        <f>9!S8+'10'!S8+'11'!S8+'12'!S8+'13'!S8+'14'!S8</f>
        <v>0</v>
      </c>
      <c r="T8" s="622">
        <f>9!T8+'10'!T8+'11'!T8+'12'!T8+'13'!T8+'14'!T8</f>
        <v>0</v>
      </c>
      <c r="U8" s="622">
        <f>9!U8+'10'!U8+'11'!U8+'12'!U8+'13'!U8+'14'!U8</f>
        <v>0</v>
      </c>
      <c r="V8" s="4"/>
      <c r="W8" s="4"/>
      <c r="X8" s="4"/>
      <c r="Y8" s="3"/>
    </row>
    <row r="9" spans="1:25" ht="24" customHeight="1" thickBot="1">
      <c r="A9" s="454"/>
      <c r="B9" s="455" t="s">
        <v>21</v>
      </c>
      <c r="C9" s="23" t="s">
        <v>19</v>
      </c>
      <c r="D9" s="622">
        <f>9!D9+'10'!D9+'11'!D9+'12'!D9+'13'!D9+'14'!D9</f>
        <v>2290.1310000000003</v>
      </c>
      <c r="E9" s="622">
        <f>9!E9+'10'!E9+'11'!E9+'12'!E9+'13'!E9+'14'!E9</f>
        <v>1897.0724300000002</v>
      </c>
      <c r="F9" s="622">
        <f>9!F9+'10'!F9+'11'!F9+'12'!F9+'13'!F9+'14'!F9</f>
        <v>622.3575699999999</v>
      </c>
      <c r="G9" s="622">
        <f>9!G9+'10'!G9+'11'!G9+'12'!G9+'13'!G9+'14'!G9</f>
        <v>226.23000000000002</v>
      </c>
      <c r="H9" s="622">
        <f>9!H9+'10'!H9+'11'!H9+'12'!H9+'13'!H9+'14'!H9</f>
        <v>396.12756999999993</v>
      </c>
      <c r="I9" s="622">
        <f>9!I9+'10'!I9+'11'!I9+'12'!I9+'13'!I9+'14'!I9</f>
        <v>108.8</v>
      </c>
      <c r="J9" s="624">
        <f>9!J9+'10'!J9+'11'!J9+'12'!J9+'13'!J9+'14'!J9</f>
        <v>106.79</v>
      </c>
      <c r="K9" s="622">
        <f>9!K9+'10'!K9+'11'!K9+'12'!K9+'13'!K9+'14'!K9</f>
        <v>66.90544444444444</v>
      </c>
      <c r="L9" s="622">
        <f>9!L9+'10'!L9+'11'!L9+'12'!L9+'13'!L9+'14'!L9</f>
        <v>61.94544444444444</v>
      </c>
      <c r="M9" s="622">
        <f>9!M9+'10'!M9+'11'!M9+'12'!M9+'13'!M9+'14'!M9</f>
        <v>51.94544444444444</v>
      </c>
      <c r="N9" s="622">
        <f>9!N9+'10'!N9+'11'!N9+'12'!N9+'13'!N9+'14'!N9</f>
        <v>51.94544444444444</v>
      </c>
      <c r="O9" s="622">
        <f>9!O9+'10'!O9+'11'!O9+'12'!O9+'13'!O9+'14'!O9</f>
        <v>68.94544444444443</v>
      </c>
      <c r="P9" s="622">
        <f>9!P9+'10'!P9+'11'!P9+'12'!P9+'13'!P9+'14'!P9</f>
        <v>31.94544444444444</v>
      </c>
      <c r="Q9" s="622">
        <f>9!Q9+'10'!Q9+'11'!Q9+'12'!Q9+'13'!Q9+'14'!Q9</f>
        <v>31.94544444444444</v>
      </c>
      <c r="R9" s="622">
        <f>9!R9+'10'!R9+'11'!R9+'12'!R9+'13'!R9+'14'!R9</f>
        <v>0</v>
      </c>
      <c r="S9" s="622">
        <f>9!S9+'10'!S9+'11'!S9+'12'!S9+'13'!S9+'14'!S9</f>
        <v>0</v>
      </c>
      <c r="T9" s="622">
        <f>9!T9+'10'!T9+'11'!T9+'12'!T9+'13'!T9+'14'!T9</f>
        <v>0</v>
      </c>
      <c r="U9" s="622">
        <f>9!U9+'10'!U9+'11'!U9+'12'!U9+'13'!U9+'14'!U9</f>
        <v>0</v>
      </c>
      <c r="V9" s="4"/>
      <c r="W9" s="4"/>
      <c r="X9" s="4"/>
      <c r="Y9" s="3"/>
    </row>
    <row r="10" spans="1:25" ht="24" customHeight="1" thickBot="1">
      <c r="A10" s="621">
        <v>2</v>
      </c>
      <c r="B10" s="603" t="s">
        <v>22</v>
      </c>
      <c r="C10" s="604" t="s">
        <v>19</v>
      </c>
      <c r="D10" s="623">
        <f>9!D10+'10'!D10+'11'!D10+'12'!D10+'13'!D10+'14'!D10</f>
        <v>485.8708239699246</v>
      </c>
      <c r="E10" s="623">
        <f>9!E10+'10'!E10+'11'!E10+'12'!E10+'13'!E10+'14'!E10</f>
        <v>259.84356968921423</v>
      </c>
      <c r="F10" s="623">
        <f>9!F10+'10'!F10+'11'!F10+'12'!F10+'13'!F10+'14'!F10</f>
        <v>343.71925428071035</v>
      </c>
      <c r="G10" s="623">
        <f>9!G10+'10'!G10+'11'!G10+'12'!G10+'13'!G10+'14'!G10</f>
        <v>113.19</v>
      </c>
      <c r="H10" s="623">
        <f>9!H10+'10'!H10+'11'!H10+'12'!H10+'13'!H10+'14'!H10</f>
        <v>230.52925428071035</v>
      </c>
      <c r="I10" s="623">
        <f>9!I10+'10'!I10+'11'!I10+'12'!I10+'13'!I10+'14'!I10</f>
        <v>63.760000000000005</v>
      </c>
      <c r="J10" s="624">
        <f>9!J10+'10'!J10+'11'!J10+'12'!J10+'13'!J10+'14'!J10</f>
        <v>25.1</v>
      </c>
      <c r="K10" s="623">
        <f>9!K10+'10'!K10+'11'!K10+'12'!K10+'13'!K10+'14'!K10</f>
        <v>28.1486</v>
      </c>
      <c r="L10" s="623">
        <f>9!L10+'10'!L10+'11'!L10+'12'!L10+'13'!L10+'14'!L10</f>
        <v>28.2286</v>
      </c>
      <c r="M10" s="623">
        <f>9!M10+'10'!M10+'11'!M10+'12'!M10+'13'!M10+'14'!M10</f>
        <v>24.2286</v>
      </c>
      <c r="N10" s="623">
        <f>9!N10+'10'!N10+'11'!N10+'12'!N10+'13'!N10+'14'!N10</f>
        <v>24.0286</v>
      </c>
      <c r="O10" s="623">
        <f>9!O10+'10'!O10+'11'!O10+'12'!O10+'13'!O10+'14'!O10</f>
        <v>19.4386</v>
      </c>
      <c r="P10" s="623">
        <f>9!P10+'10'!P10+'11'!P10+'12'!P10+'13'!P10+'14'!P10</f>
        <v>14.2286</v>
      </c>
      <c r="Q10" s="623">
        <f>9!Q10+'10'!Q10+'11'!Q10+'12'!Q10+'13'!Q10+'14'!Q10</f>
        <v>14.2286</v>
      </c>
      <c r="R10" s="623">
        <f>9!R10+'10'!R10+'11'!R10+'12'!R10+'13'!R10+'14'!R10</f>
        <v>14.2286</v>
      </c>
      <c r="S10" s="623">
        <f>9!S10+'10'!S10+'11'!S10+'12'!S10+'13'!S10+'14'!S10</f>
        <v>0</v>
      </c>
      <c r="T10" s="623">
        <f>9!T10+'10'!T10+'11'!T10+'12'!T10+'13'!T10+'14'!T10</f>
        <v>0</v>
      </c>
      <c r="U10" s="623">
        <f>9!U10+'10'!U10+'11'!U10+'12'!U10+'13'!U10+'14'!U10</f>
        <v>0</v>
      </c>
      <c r="V10" s="4"/>
      <c r="W10" s="4"/>
      <c r="X10" s="4"/>
      <c r="Y10" s="3"/>
    </row>
    <row r="11" spans="1:25" ht="22.5" customHeight="1" thickBot="1">
      <c r="A11" s="460">
        <v>3</v>
      </c>
      <c r="B11" s="33" t="s">
        <v>23</v>
      </c>
      <c r="C11" s="22" t="s">
        <v>19</v>
      </c>
      <c r="D11" s="622">
        <f>9!D11+'10'!D11+'11'!D11+'12'!D11+'13'!D11+'14'!D11</f>
        <v>20.8</v>
      </c>
      <c r="E11" s="622">
        <f>9!E11+'10'!E11+'11'!E11+'12'!E11+'13'!E11+'14'!E11</f>
        <v>7.7</v>
      </c>
      <c r="F11" s="622">
        <f>9!F11+'10'!F11+'11'!F11+'12'!F11+'13'!F11+'14'!F11</f>
        <v>13.1</v>
      </c>
      <c r="G11" s="622">
        <f>9!G11+'10'!G11+'11'!G11+'12'!G11+'13'!G11+'14'!G11</f>
        <v>0</v>
      </c>
      <c r="H11" s="622">
        <f>9!H11+'10'!H11+'11'!H11+'12'!H11+'13'!H11+'14'!H11</f>
        <v>13.1</v>
      </c>
      <c r="I11" s="622">
        <f>9!I11+'10'!I11+'11'!I11+'12'!I11+'13'!I11+'14'!I11</f>
        <v>8</v>
      </c>
      <c r="J11" s="624">
        <f>9!J11+'10'!J11+'11'!J11+'12'!J11+'13'!J11+'14'!J11</f>
        <v>15</v>
      </c>
      <c r="K11" s="622">
        <f>9!K11+'10'!K11+'11'!K11+'12'!K11+'13'!K11+'14'!K11</f>
        <v>5</v>
      </c>
      <c r="L11" s="622">
        <f>9!L11+'10'!L11+'11'!L11+'12'!L11+'13'!L11+'14'!L11</f>
        <v>0.02</v>
      </c>
      <c r="M11" s="622">
        <f>9!M11+'10'!M11+'11'!M11+'12'!M11+'13'!M11+'14'!M11</f>
        <v>0.02</v>
      </c>
      <c r="N11" s="622">
        <f>9!N11+'10'!N11+'11'!N11+'12'!N11+'13'!N11+'14'!N11</f>
        <v>0.02</v>
      </c>
      <c r="O11" s="622">
        <f>9!O11+'10'!O11+'11'!O11+'12'!O11+'13'!O11+'14'!O11</f>
        <v>0.02</v>
      </c>
      <c r="P11" s="622">
        <f>9!P11+'10'!P11+'11'!P11+'12'!P11+'13'!P11+'14'!P11</f>
        <v>0.02</v>
      </c>
      <c r="Q11" s="622">
        <f>9!Q11+'10'!Q11+'11'!Q11+'12'!Q11+'13'!Q11+'14'!Q11</f>
        <v>0</v>
      </c>
      <c r="R11" s="622">
        <f>9!R11+'10'!R11+'11'!R11+'12'!R11+'13'!R11+'14'!R11</f>
        <v>0</v>
      </c>
      <c r="S11" s="622">
        <f>9!S11+'10'!S11+'11'!S11+'12'!S11+'13'!S11+'14'!S11</f>
        <v>0</v>
      </c>
      <c r="T11" s="622">
        <f>9!T11+'10'!T11+'11'!T11+'12'!T11+'13'!T11+'14'!T11</f>
        <v>0</v>
      </c>
      <c r="U11" s="622">
        <f>9!U11+'10'!U11+'11'!U11+'12'!U11+'13'!U11+'14'!U11</f>
        <v>0</v>
      </c>
      <c r="V11" s="4"/>
      <c r="W11" s="4"/>
      <c r="X11" s="4"/>
      <c r="Y11" s="3"/>
    </row>
    <row r="12" spans="1:25" ht="22.5" customHeight="1" thickBot="1">
      <c r="A12" s="459">
        <v>4</v>
      </c>
      <c r="B12" s="603" t="s">
        <v>24</v>
      </c>
      <c r="C12" s="604" t="s">
        <v>19</v>
      </c>
      <c r="D12" s="623">
        <f>9!D12+'10'!D12+'11'!D12+'12'!D12+'13'!D12+'14'!D12</f>
        <v>2505.9230000000002</v>
      </c>
      <c r="E12" s="623">
        <f>9!E12+'10'!E12+'11'!E12+'12'!E12+'13'!E12+'14'!E12</f>
        <v>2323.43996</v>
      </c>
      <c r="F12" s="623">
        <f>9!F12+'10'!F12+'11'!F12+'12'!F12+'13'!F12+'14'!F12</f>
        <v>207.43203999999997</v>
      </c>
      <c r="G12" s="623">
        <f>9!G12+'10'!G12+'11'!G12+'12'!G12+'13'!G12+'14'!G12</f>
        <v>96.91</v>
      </c>
      <c r="H12" s="623">
        <f>9!H12+'10'!H12+'11'!H12+'12'!H12+'13'!H12+'14'!H12</f>
        <v>110.52203999999999</v>
      </c>
      <c r="I12" s="623">
        <f>9!I12+'10'!I12+'11'!I12+'12'!I12+'13'!I12+'14'!I12</f>
        <v>49.24</v>
      </c>
      <c r="J12" s="624">
        <f>9!J12+'10'!J12+'11'!J12+'12'!J12+'13'!J12+'14'!J12</f>
        <v>66.2</v>
      </c>
      <c r="K12" s="623">
        <f>9!K12+'10'!K12+'11'!K12+'12'!K12+'13'!K12+'14'!K12</f>
        <v>29.729875</v>
      </c>
      <c r="L12" s="623">
        <f>9!L12+'10'!L12+'11'!L12+'12'!L12+'13'!L12+'14'!L12</f>
        <v>20.919875</v>
      </c>
      <c r="M12" s="623">
        <f>9!M12+'10'!M12+'11'!M12+'12'!M12+'13'!M12+'14'!M12</f>
        <v>22.919875</v>
      </c>
      <c r="N12" s="623">
        <f>9!N12+'10'!N12+'11'!N12+'12'!N12+'13'!N12+'14'!N12</f>
        <v>18.459875</v>
      </c>
      <c r="O12" s="623">
        <f>9!O12+'10'!O12+'11'!O12+'12'!O12+'13'!O12+'14'!O12</f>
        <v>8.919875000000001</v>
      </c>
      <c r="P12" s="623">
        <f>9!P12+'10'!P12+'11'!P12+'12'!P12+'13'!P12+'14'!P12</f>
        <v>5.919875</v>
      </c>
      <c r="Q12" s="623">
        <f>9!Q12+'10'!Q12+'11'!Q12+'12'!Q12+'13'!Q12+'14'!Q12</f>
        <v>0</v>
      </c>
      <c r="R12" s="623">
        <f>9!R12+'10'!R12+'11'!R12+'12'!R12+'13'!R12+'14'!R12</f>
        <v>0</v>
      </c>
      <c r="S12" s="623">
        <f>9!S12+'10'!S12+'11'!S12+'12'!S12+'13'!S12+'14'!S12</f>
        <v>0</v>
      </c>
      <c r="T12" s="623">
        <f>9!T12+'10'!T12+'11'!T12+'12'!T12+'13'!T12+'14'!T12</f>
        <v>0</v>
      </c>
      <c r="U12" s="623">
        <f>9!U12+'10'!U12+'11'!U12+'12'!U12+'13'!U12+'14'!U12</f>
        <v>0</v>
      </c>
      <c r="V12" s="4"/>
      <c r="W12" s="4"/>
      <c r="X12" s="4"/>
      <c r="Y12" s="3"/>
    </row>
    <row r="13" spans="1:25" ht="20.25" customHeight="1" thickBot="1">
      <c r="A13" s="461">
        <v>5</v>
      </c>
      <c r="B13" s="34" t="s">
        <v>25</v>
      </c>
      <c r="C13" s="23" t="s">
        <v>19</v>
      </c>
      <c r="D13" s="622">
        <f>9!D13+'10'!D13+'11'!D13+'12'!D13+'13'!D13+'14'!D13</f>
        <v>61.1810634699925</v>
      </c>
      <c r="E13" s="622">
        <f>9!E13+'10'!E13+'11'!E13+'12'!E13+'13'!E13+'14'!E13</f>
        <v>20.956864725697997</v>
      </c>
      <c r="F13" s="622">
        <f>9!F13+'10'!F13+'11'!F13+'12'!F13+'13'!F13+'14'!F13</f>
        <v>61.4815687442945</v>
      </c>
      <c r="G13" s="622">
        <f>9!G13+'10'!G13+'11'!G13+'12'!G13+'13'!G13+'14'!G13</f>
        <v>20.549999999999997</v>
      </c>
      <c r="H13" s="622">
        <f>9!H13+'10'!H13+'11'!H13+'12'!H13+'13'!H13+'14'!H13</f>
        <v>40.9315687442945</v>
      </c>
      <c r="I13" s="622">
        <f>9!I13+'10'!I13+'11'!I13+'12'!I13+'13'!I13+'14'!I13</f>
        <v>17.53</v>
      </c>
      <c r="J13" s="624">
        <f>9!J13+'10'!J13+'11'!J13+'12'!J13+'13'!J13+'14'!J13</f>
        <v>25.8</v>
      </c>
      <c r="K13" s="622">
        <f>9!K13+'10'!K13+'11'!K13+'12'!K13+'13'!K13+'14'!K13</f>
        <v>7.131555555555555</v>
      </c>
      <c r="L13" s="622">
        <f>9!L13+'10'!L13+'11'!L13+'12'!L13+'13'!L13+'14'!L13</f>
        <v>2.2815555555555553</v>
      </c>
      <c r="M13" s="622">
        <f>9!M13+'10'!M13+'11'!M13+'12'!M13+'13'!M13+'14'!M13</f>
        <v>2.881555555555556</v>
      </c>
      <c r="N13" s="622">
        <f>9!N13+'10'!N13+'11'!N13+'12'!N13+'13'!N13+'14'!N13</f>
        <v>3.0315555555555553</v>
      </c>
      <c r="O13" s="622">
        <f>9!O13+'10'!O13+'11'!O13+'12'!O13+'13'!O13+'14'!O13</f>
        <v>3.0315555555555553</v>
      </c>
      <c r="P13" s="622">
        <f>9!P13+'10'!P13+'11'!P13+'12'!P13+'13'!P13+'14'!P13</f>
        <v>3.0315555555555553</v>
      </c>
      <c r="Q13" s="622">
        <f>9!Q13+'10'!Q13+'11'!Q13+'12'!Q13+'13'!Q13+'14'!Q13</f>
        <v>1.0315555555555556</v>
      </c>
      <c r="R13" s="622">
        <f>9!R13+'10'!R13+'11'!R13+'12'!R13+'13'!R13+'14'!R13</f>
        <v>1.0315555555555556</v>
      </c>
      <c r="S13" s="622">
        <f>9!S13+'10'!S13+'11'!S13+'12'!S13+'13'!S13+'14'!S13</f>
        <v>0</v>
      </c>
      <c r="T13" s="622">
        <f>9!T13+'10'!T13+'11'!T13+'12'!T13+'13'!T13+'14'!T13</f>
        <v>0</v>
      </c>
      <c r="U13" s="622">
        <f>9!U13+'10'!U13+'11'!U13+'12'!U13+'13'!U13+'14'!U13</f>
        <v>0</v>
      </c>
      <c r="V13" s="4"/>
      <c r="W13" s="4"/>
      <c r="X13" s="4"/>
      <c r="Y13" s="3"/>
    </row>
    <row r="14" spans="1:25" ht="19.5" customHeight="1" thickBot="1">
      <c r="A14" s="459">
        <v>6</v>
      </c>
      <c r="B14" s="603" t="s">
        <v>26</v>
      </c>
      <c r="C14" s="604" t="s">
        <v>19</v>
      </c>
      <c r="D14" s="623">
        <f>9!D14+'10'!D14+'11'!D14+'12'!D14+'13'!D14+'14'!D14</f>
        <v>143.10692388724</v>
      </c>
      <c r="E14" s="623">
        <f>9!E14+'10'!E14+'11'!E14+'12'!E14+'13'!E14+'14'!E14</f>
        <v>84.22484962230001</v>
      </c>
      <c r="F14" s="623">
        <f>9!F14+'10'!F14+'11'!F14+'12'!F14+'13'!F14+'14'!F14</f>
        <v>67.88707426494001</v>
      </c>
      <c r="G14" s="623">
        <f>9!G14+'10'!G14+'11'!G14+'12'!G14+'13'!G14+'14'!G14</f>
        <v>8.842</v>
      </c>
      <c r="H14" s="623">
        <f>9!H14+'10'!H14+'11'!H14+'12'!H14+'13'!H14+'14'!H14</f>
        <v>59.04507426494001</v>
      </c>
      <c r="I14" s="623">
        <f>9!I14+'10'!I14+'11'!I14+'12'!I14+'13'!I14+'14'!I14</f>
        <v>7.359999999999999</v>
      </c>
      <c r="J14" s="624">
        <f>9!J14+'10'!J14+'11'!J14+'12'!J14+'13'!J14+'14'!J14</f>
        <v>4.5</v>
      </c>
      <c r="K14" s="623">
        <f>9!K14+'10'!K14+'11'!K14+'12'!K14+'13'!K14+'14'!K14</f>
        <v>5</v>
      </c>
      <c r="L14" s="623">
        <f>9!L14+'10'!L14+'11'!L14+'12'!L14+'13'!L14+'14'!L14</f>
        <v>11.305000000000001</v>
      </c>
      <c r="M14" s="623">
        <f>9!M14+'10'!M14+'11'!M14+'12'!M14+'13'!M14+'14'!M14</f>
        <v>10.493</v>
      </c>
      <c r="N14" s="623">
        <f>9!N14+'10'!N14+'11'!N14+'12'!N14+'13'!N14+'14'!N14</f>
        <v>9.755</v>
      </c>
      <c r="O14" s="623">
        <f>9!O14+'10'!O14+'11'!O14+'12'!O14+'13'!O14+'14'!O14</f>
        <v>9.105</v>
      </c>
      <c r="P14" s="623">
        <f>9!P14+'10'!P14+'11'!P14+'12'!P14+'13'!P14+'14'!P14</f>
        <v>5.755000000000001</v>
      </c>
      <c r="Q14" s="623">
        <f>9!Q14+'10'!Q14+'11'!Q14+'12'!Q14+'13'!Q14+'14'!Q14</f>
        <v>0.3</v>
      </c>
      <c r="R14" s="623">
        <f>9!R14+'10'!R14+'11'!R14+'12'!R14+'13'!R14+'14'!R14</f>
        <v>0</v>
      </c>
      <c r="S14" s="623">
        <f>9!S14+'10'!S14+'11'!S14+'12'!S14+'13'!S14+'14'!S14</f>
        <v>0</v>
      </c>
      <c r="T14" s="623">
        <f>9!T14+'10'!T14+'11'!T14+'12'!T14+'13'!T14+'14'!T14</f>
        <v>0</v>
      </c>
      <c r="U14" s="623">
        <f>9!U14+'10'!U14+'11'!U14+'12'!U14+'13'!U14+'14'!U14</f>
        <v>0</v>
      </c>
      <c r="V14" s="4"/>
      <c r="W14" s="4"/>
      <c r="X14" s="4"/>
      <c r="Y14" s="3"/>
    </row>
    <row r="15" spans="1:25" ht="22.5" customHeight="1" thickBot="1">
      <c r="A15" s="461">
        <v>7</v>
      </c>
      <c r="B15" s="34" t="s">
        <v>27</v>
      </c>
      <c r="C15" s="23" t="s">
        <v>19</v>
      </c>
      <c r="D15" s="622">
        <f>9!D15+'10'!D15+'11'!D15+'12'!D15+'13'!D15+'14'!D15</f>
        <v>5.44</v>
      </c>
      <c r="E15" s="622">
        <f>9!E15+'10'!E15+'11'!E15+'12'!E15+'13'!E15+'14'!E15</f>
        <v>3.45</v>
      </c>
      <c r="F15" s="622">
        <f>9!F15+'10'!F15+'11'!F15+'12'!F15+'13'!F15+'14'!F15</f>
        <v>2.0500000000000003</v>
      </c>
      <c r="G15" s="622">
        <f>9!G15+'10'!G15+'11'!G15+'12'!G15+'13'!G15+'14'!G15</f>
        <v>0.05</v>
      </c>
      <c r="H15" s="622">
        <f>9!H15+'10'!H15+'11'!H15+'12'!H15+'13'!H15+'14'!H15</f>
        <v>2</v>
      </c>
      <c r="I15" s="622">
        <f>9!I15+'10'!I15+'11'!I15+'12'!I15+'13'!I15+'14'!I15</f>
        <v>0.72</v>
      </c>
      <c r="J15" s="624">
        <f>9!J15+'10'!J15+'11'!J15+'12'!J15+'13'!J15+'14'!J15</f>
        <v>0.6</v>
      </c>
      <c r="K15" s="622">
        <f>9!K15+'10'!K15+'11'!K15+'12'!K15+'13'!K15+'14'!K15</f>
        <v>0.6166666666666667</v>
      </c>
      <c r="L15" s="622">
        <f>9!L15+'10'!L15+'11'!L15+'12'!L15+'13'!L15+'14'!L15</f>
        <v>0.4066666666666666</v>
      </c>
      <c r="M15" s="622">
        <f>9!M15+'10'!M15+'11'!M15+'12'!M15+'13'!M15+'14'!M15</f>
        <v>0.04</v>
      </c>
      <c r="N15" s="622">
        <f>9!N15+'10'!N15+'11'!N15+'12'!N15+'13'!N15+'14'!N15</f>
        <v>0.17</v>
      </c>
      <c r="O15" s="622">
        <f>9!O15+'10'!O15+'11'!O15+'12'!O15+'13'!O15+'14'!O15</f>
        <v>0.05</v>
      </c>
      <c r="P15" s="622">
        <f>9!P15+'10'!P15+'11'!P15+'12'!P15+'13'!P15+'14'!P15</f>
        <v>0</v>
      </c>
      <c r="Q15" s="622">
        <f>9!Q15+'10'!Q15+'11'!Q15+'12'!Q15+'13'!Q15+'14'!Q15</f>
        <v>0</v>
      </c>
      <c r="R15" s="622">
        <f>9!R15+'10'!R15+'11'!R15+'12'!R15+'13'!R15+'14'!R15</f>
        <v>0</v>
      </c>
      <c r="S15" s="622">
        <f>9!S15+'10'!S15+'11'!S15+'12'!S15+'13'!S15+'14'!S15</f>
        <v>0</v>
      </c>
      <c r="T15" s="622">
        <f>9!T15+'10'!T15+'11'!T15+'12'!T15+'13'!T15+'14'!T15</f>
        <v>0</v>
      </c>
      <c r="U15" s="622">
        <f>9!U15+'10'!U15+'11'!U15+'12'!U15+'13'!U15+'14'!U15</f>
        <v>0</v>
      </c>
      <c r="V15" s="4"/>
      <c r="W15" s="4"/>
      <c r="X15" s="4"/>
      <c r="Y15" s="3"/>
    </row>
    <row r="16" spans="1:25" ht="20.25" customHeight="1" thickBot="1">
      <c r="A16" s="459">
        <v>8</v>
      </c>
      <c r="B16" s="603" t="s">
        <v>28</v>
      </c>
      <c r="C16" s="604" t="s">
        <v>29</v>
      </c>
      <c r="D16" s="623">
        <f>9!D16+'10'!D16+'11'!D16+'12'!D16+'13'!D16+'14'!D16</f>
        <v>16.50601</v>
      </c>
      <c r="E16" s="623">
        <f>9!E16+'10'!E16+'11'!E16+'12'!E16+'13'!E16+'14'!E16</f>
        <v>12.56047</v>
      </c>
      <c r="F16" s="623">
        <f>9!F16+'10'!F16+'11'!F16+'12'!F16+'13'!F16+'14'!F16</f>
        <v>5.6660900000000005</v>
      </c>
      <c r="G16" s="623">
        <f>9!G16+'10'!G16+'11'!G16+'12'!G16+'13'!G16+'14'!G16</f>
        <v>2.7853</v>
      </c>
      <c r="H16" s="623">
        <f>9!H16+'10'!H16+'11'!H16+'12'!H16+'13'!H16+'14'!H16</f>
        <v>2.8807900000000006</v>
      </c>
      <c r="I16" s="623">
        <f>9!I16+'10'!I16+'11'!I16+'12'!I16+'13'!I16+'14'!I16</f>
        <v>0.9</v>
      </c>
      <c r="J16" s="624">
        <f>9!J16+'10'!J16+'11'!J16+'12'!J16+'13'!J16+'14'!J16</f>
        <v>0.485</v>
      </c>
      <c r="K16" s="623">
        <f>9!K16+'10'!K16+'11'!K16+'12'!K16+'13'!K16+'14'!K16</f>
        <v>0.65705</v>
      </c>
      <c r="L16" s="623">
        <f>9!L16+'10'!L16+'11'!L16+'12'!L16+'13'!L16+'14'!L16</f>
        <v>0.65705</v>
      </c>
      <c r="M16" s="623">
        <f>9!M16+'10'!M16+'11'!M16+'12'!M16+'13'!M16+'14'!M16</f>
        <v>0.35705000000000003</v>
      </c>
      <c r="N16" s="623">
        <f>9!N16+'10'!N16+'11'!N16+'12'!N16+'13'!N16+'14'!N16</f>
        <v>0.31705000000000005</v>
      </c>
      <c r="O16" s="623">
        <f>9!O16+'10'!O16+'11'!O16+'12'!O16+'13'!O16+'14'!O16</f>
        <v>0</v>
      </c>
      <c r="P16" s="623">
        <f>9!P16+'10'!P16+'11'!P16+'12'!P16+'13'!P16+'14'!P16</f>
        <v>0</v>
      </c>
      <c r="Q16" s="623">
        <f>9!Q16+'10'!Q16+'11'!Q16+'12'!Q16+'13'!Q16+'14'!Q16</f>
        <v>0</v>
      </c>
      <c r="R16" s="623">
        <f>9!R16+'10'!R16+'11'!R16+'12'!R16+'13'!R16+'14'!R16</f>
        <v>0</v>
      </c>
      <c r="S16" s="623">
        <f>9!S16+'10'!S16+'11'!S16+'12'!S16+'13'!S16+'14'!S16</f>
        <v>0</v>
      </c>
      <c r="T16" s="623">
        <f>9!T16+'10'!T16+'11'!T16+'12'!T16+'13'!T16+'14'!T16</f>
        <v>0</v>
      </c>
      <c r="U16" s="623">
        <f>9!U16+'10'!U16+'11'!U16+'12'!U16+'13'!U16+'14'!U16</f>
        <v>0</v>
      </c>
      <c r="V16" s="4"/>
      <c r="W16" s="4"/>
      <c r="X16" s="4"/>
      <c r="Y16" s="3"/>
    </row>
    <row r="17" spans="1:25" ht="21.75" customHeight="1" thickBot="1">
      <c r="A17" s="461">
        <v>9</v>
      </c>
      <c r="B17" s="34" t="s">
        <v>30</v>
      </c>
      <c r="C17" s="23" t="s">
        <v>31</v>
      </c>
      <c r="D17" s="622">
        <f>9!D17+'10'!D17+'11'!D17+'12'!D17+'13'!D17+'14'!D17</f>
        <v>3180.0063</v>
      </c>
      <c r="E17" s="622">
        <f>9!E17+'10'!E17+'11'!E17+'12'!E17+'13'!E17+'14'!E17</f>
        <v>1944.8339899999999</v>
      </c>
      <c r="F17" s="622">
        <f>9!F17+'10'!F17+'11'!F17+'12'!F17+'13'!F17+'14'!F17</f>
        <v>1235.1770800000002</v>
      </c>
      <c r="G17" s="622">
        <f>9!G17+'10'!G17+'11'!G17+'12'!G17+'13'!G17+'14'!G17</f>
        <v>150</v>
      </c>
      <c r="H17" s="622">
        <f>9!H17+'10'!H17+'11'!H17+'12'!H17+'13'!H17+'14'!H17</f>
        <v>1085.17708</v>
      </c>
      <c r="I17" s="622">
        <f>9!I17+'10'!I17+'11'!I17+'12'!I17+'13'!I17+'14'!I17</f>
        <v>85</v>
      </c>
      <c r="J17" s="624">
        <f>9!J17+'10'!J17+'11'!J17+'12'!J17+'13'!J17+'14'!J17</f>
        <v>83.3</v>
      </c>
      <c r="K17" s="622">
        <f>9!K17+'10'!K17+'11'!K17+'12'!K17+'13'!K17+'14'!K17</f>
        <v>185.81912833333337</v>
      </c>
      <c r="L17" s="622">
        <f>9!L17+'10'!L17+'11'!L17+'12'!L17+'13'!L17+'14'!L17</f>
        <v>218.07912833333336</v>
      </c>
      <c r="M17" s="622">
        <f>9!M17+'10'!M17+'11'!M17+'12'!M17+'13'!M17+'14'!M17</f>
        <v>168.07912833333336</v>
      </c>
      <c r="N17" s="622">
        <f>9!N17+'10'!N17+'11'!N17+'12'!N17+'13'!N17+'14'!N17</f>
        <v>168.07912833333336</v>
      </c>
      <c r="O17" s="622">
        <f>9!O17+'10'!O17+'11'!O17+'12'!O17+'13'!O17+'14'!O17</f>
        <v>142.04112833333335</v>
      </c>
      <c r="P17" s="622">
        <f>9!P17+'10'!P17+'11'!P17+'12'!P17+'13'!P17+'14'!P17</f>
        <v>118.07912833333334</v>
      </c>
      <c r="Q17" s="622">
        <f>9!Q17+'10'!Q17+'11'!Q17+'12'!Q17+'13'!Q17+'14'!Q17</f>
        <v>0</v>
      </c>
      <c r="R17" s="622">
        <f>9!R17+'10'!R17+'11'!R17+'12'!R17+'13'!R17+'14'!R17</f>
        <v>0</v>
      </c>
      <c r="S17" s="622">
        <f>9!S17+'10'!S17+'11'!S17+'12'!S17+'13'!S17+'14'!S17</f>
        <v>0</v>
      </c>
      <c r="T17" s="622">
        <f>9!T17+'10'!T17+'11'!T17+'12'!T17+'13'!T17+'14'!T17</f>
        <v>0</v>
      </c>
      <c r="U17" s="622">
        <f>9!U17+'10'!U17+'11'!U17+'12'!U17+'13'!U17+'14'!U17</f>
        <v>0</v>
      </c>
      <c r="V17" s="4"/>
      <c r="W17" s="4"/>
      <c r="X17" s="4"/>
      <c r="Y17" s="3"/>
    </row>
    <row r="18" spans="1:25" ht="21" customHeight="1" thickBot="1">
      <c r="A18" s="459">
        <v>10</v>
      </c>
      <c r="B18" s="603" t="s">
        <v>32</v>
      </c>
      <c r="C18" s="604" t="s">
        <v>2</v>
      </c>
      <c r="D18" s="623">
        <f>9!D18+'10'!D18+'11'!D18+'12'!D18+'13'!D18+'14'!D18</f>
        <v>10942</v>
      </c>
      <c r="E18" s="623">
        <f>9!E18+'10'!E18+'11'!E18+'12'!E18+'13'!E18+'14'!E18</f>
        <v>0</v>
      </c>
      <c r="F18" s="623">
        <f>9!F18+'10'!F18+'11'!F18+'12'!F18+'13'!F18+'14'!F18</f>
        <v>10942</v>
      </c>
      <c r="G18" s="623">
        <f>9!G18+'10'!G18+'11'!G18+'12'!G18+'13'!G18+'14'!G18</f>
        <v>0</v>
      </c>
      <c r="H18" s="623">
        <f>9!H18+'10'!H18+'11'!H18+'12'!H18+'13'!H18+'14'!H18</f>
        <v>10942</v>
      </c>
      <c r="I18" s="623">
        <f>9!I18+'10'!I18+'11'!I18+'12'!I18+'13'!I18+'14'!I18</f>
        <v>0</v>
      </c>
      <c r="J18" s="624">
        <f>9!J18+'10'!J18+'11'!J18+'12'!J18+'13'!J18+'14'!J18</f>
        <v>0</v>
      </c>
      <c r="K18" s="623">
        <f>9!K18+'10'!K18+'11'!K18+'12'!K18+'13'!K18+'14'!K18</f>
        <v>0</v>
      </c>
      <c r="L18" s="623">
        <f>9!L18+'10'!L18+'11'!L18+'12'!L18+'13'!L18+'14'!L18</f>
        <v>0</v>
      </c>
      <c r="M18" s="623">
        <f>9!M18+'10'!M18+'11'!M18+'12'!M18+'13'!M18+'14'!M18</f>
        <v>1500</v>
      </c>
      <c r="N18" s="623">
        <f>9!N18+'10'!N18+'11'!N18+'12'!N18+'13'!N18+'14'!N18</f>
        <v>2851</v>
      </c>
      <c r="O18" s="623">
        <f>9!O18+'10'!O18+'11'!O18+'12'!O18+'13'!O18+'14'!O18</f>
        <v>2827</v>
      </c>
      <c r="P18" s="623">
        <f>9!P18+'10'!P18+'11'!P18+'12'!P18+'13'!P18+'14'!P18</f>
        <v>2350</v>
      </c>
      <c r="Q18" s="623">
        <f>9!Q18+'10'!Q18+'11'!Q18+'12'!Q18+'13'!Q18+'14'!Q18</f>
        <v>1414</v>
      </c>
      <c r="R18" s="623">
        <f>9!R18+'10'!R18+'11'!R18+'12'!R18+'13'!R18+'14'!R18</f>
        <v>0</v>
      </c>
      <c r="S18" s="623">
        <f>9!S18+'10'!S18+'11'!S18+'12'!S18+'13'!S18+'14'!S18</f>
        <v>0</v>
      </c>
      <c r="T18" s="623">
        <f>9!T18+'10'!T18+'11'!T18+'12'!T18+'13'!T18+'14'!T18</f>
        <v>0</v>
      </c>
      <c r="U18" s="623">
        <f>9!U18+'10'!U18+'11'!U18+'12'!U18+'13'!U18+'14'!U18</f>
        <v>0</v>
      </c>
      <c r="V18" s="4"/>
      <c r="W18" s="4"/>
      <c r="X18" s="4"/>
      <c r="Y18" s="3"/>
    </row>
    <row r="19" spans="1:25" ht="19.5" customHeight="1" thickBot="1">
      <c r="A19" s="461">
        <v>11</v>
      </c>
      <c r="B19" s="34" t="s">
        <v>33</v>
      </c>
      <c r="C19" s="23" t="s">
        <v>41</v>
      </c>
      <c r="D19" s="622">
        <f>9!D19+'10'!D19+'11'!D19+'12'!D19+'13'!D19+'14'!D19</f>
        <v>38.6387</v>
      </c>
      <c r="E19" s="622">
        <f>9!E19+'10'!E19+'11'!E19+'12'!E19+'13'!E19+'14'!E19</f>
        <v>0</v>
      </c>
      <c r="F19" s="622">
        <f>9!F19+'10'!F19+'11'!F19+'12'!F19+'13'!F19+'14'!F19</f>
        <v>38.648700000000005</v>
      </c>
      <c r="G19" s="622">
        <f>9!G19+'10'!G19+'11'!G19+'12'!G19+'13'!G19+'14'!G19</f>
        <v>0</v>
      </c>
      <c r="H19" s="622">
        <f>9!H19+'10'!H19+'11'!H19+'12'!H19+'13'!H19+'14'!H19</f>
        <v>38.648700000000005</v>
      </c>
      <c r="I19" s="622">
        <f>9!I19+'10'!I19+'11'!I19+'12'!I19+'13'!I19+'14'!I19</f>
        <v>0</v>
      </c>
      <c r="J19" s="624">
        <f>9!J19+'10'!J19+'11'!J19+'12'!J19+'13'!J19+'14'!J19</f>
        <v>0</v>
      </c>
      <c r="K19" s="622">
        <f>9!K19+'10'!K19+'11'!K19+'12'!K19+'13'!K19+'14'!K19</f>
        <v>0</v>
      </c>
      <c r="L19" s="622">
        <f>9!L19+'10'!L19+'11'!L19+'12'!L19+'13'!L19+'14'!L19</f>
        <v>0</v>
      </c>
      <c r="M19" s="622">
        <f>9!M19+'10'!M19+'11'!M19+'12'!M19+'13'!M19+'14'!M19</f>
        <v>2.04</v>
      </c>
      <c r="N19" s="622">
        <f>9!N19+'10'!N19+'11'!N19+'12'!N19+'13'!N19+'14'!N19</f>
        <v>2.25</v>
      </c>
      <c r="O19" s="622">
        <f>9!O19+'10'!O19+'11'!O19+'12'!O19+'13'!O19+'14'!O19</f>
        <v>15.77</v>
      </c>
      <c r="P19" s="622">
        <f>9!P19+'10'!P19+'11'!P19+'12'!P19+'13'!P19+'14'!P19</f>
        <v>5.57</v>
      </c>
      <c r="Q19" s="622">
        <f>9!Q19+'10'!Q19+'11'!Q19+'12'!Q19+'13'!Q19+'14'!Q19</f>
        <v>13.011</v>
      </c>
      <c r="R19" s="622">
        <f>9!R19+'10'!R19+'11'!R19+'12'!R19+'13'!R19+'14'!R19</f>
        <v>0.01</v>
      </c>
      <c r="S19" s="622">
        <f>9!S19+'10'!S19+'11'!S19+'12'!S19+'13'!S19+'14'!S19</f>
        <v>0</v>
      </c>
      <c r="T19" s="622">
        <f>9!T19+'10'!T19+'11'!T19+'12'!T19+'13'!T19+'14'!T19</f>
        <v>0</v>
      </c>
      <c r="U19" s="622">
        <f>9!U19+'10'!U19+'11'!U19+'12'!U19+'13'!U19+'14'!U19</f>
        <v>0</v>
      </c>
      <c r="V19" s="4"/>
      <c r="W19" s="4"/>
      <c r="X19" s="4"/>
      <c r="Y19" s="3"/>
    </row>
    <row r="20" spans="1:25" ht="20.25" customHeight="1" thickBot="1">
      <c r="A20" s="461">
        <v>12</v>
      </c>
      <c r="B20" s="32" t="s">
        <v>34</v>
      </c>
      <c r="C20" s="21" t="s">
        <v>35</v>
      </c>
      <c r="D20" s="623">
        <f>9!D20+'10'!D20+'11'!D20+'12'!D20+'13'!D20+'14'!D20</f>
        <v>2593.5</v>
      </c>
      <c r="E20" s="623">
        <f>9!E20+'10'!E20+'11'!E20+'12'!E20+'13'!E20+'14'!E20</f>
        <v>228</v>
      </c>
      <c r="F20" s="623">
        <f>9!F20+'10'!F20+'11'!F20+'12'!F20+'13'!F20+'14'!F20</f>
        <v>2365.5</v>
      </c>
      <c r="G20" s="623">
        <f>9!G20+'10'!G20+'11'!G20+'12'!G20+'13'!G20+'14'!G20</f>
        <v>0</v>
      </c>
      <c r="H20" s="623">
        <f>9!H20+'10'!H20+'11'!H20+'12'!H20+'13'!H20+'14'!H20</f>
        <v>2365.5</v>
      </c>
      <c r="I20" s="623">
        <f>9!I20+'10'!I20+'11'!I20+'12'!I20+'13'!I20+'14'!I20</f>
        <v>0</v>
      </c>
      <c r="J20" s="624">
        <f>9!J20+'10'!J20+'11'!J20+'12'!J20+'13'!J20+'14'!J20</f>
        <v>280</v>
      </c>
      <c r="K20" s="623">
        <f>9!K20+'10'!K20+'11'!K20+'12'!K20+'13'!K20+'14'!K20</f>
        <v>200</v>
      </c>
      <c r="L20" s="623">
        <f>9!L20+'10'!L20+'11'!L20+'12'!L20+'13'!L20+'14'!L20</f>
        <v>200</v>
      </c>
      <c r="M20" s="623">
        <f>9!M20+'10'!M20+'11'!M20+'12'!M20+'13'!M20+'14'!M20</f>
        <v>234.4</v>
      </c>
      <c r="N20" s="623">
        <f>9!N20+'10'!N20+'11'!N20+'12'!N20+'13'!N20+'14'!N20</f>
        <v>738</v>
      </c>
      <c r="O20" s="623">
        <f>9!O20+'10'!O20+'11'!O20+'12'!O20+'13'!O20+'14'!O20</f>
        <v>921.1</v>
      </c>
      <c r="P20" s="623">
        <f>9!P20+'10'!P20+'11'!P20+'12'!P20+'13'!P20+'14'!P20</f>
        <v>72</v>
      </c>
      <c r="Q20" s="623">
        <f>9!Q20+'10'!Q20+'11'!Q20+'12'!Q20+'13'!Q20+'14'!Q20</f>
        <v>0</v>
      </c>
      <c r="R20" s="623">
        <f>9!R20+'10'!R20+'11'!R20+'12'!R20+'13'!R20+'14'!R20</f>
        <v>0</v>
      </c>
      <c r="S20" s="623">
        <f>9!S20+'10'!S20+'11'!S20+'12'!S20+'13'!S20+'14'!S20</f>
        <v>0</v>
      </c>
      <c r="T20" s="623">
        <f>9!T20+'10'!T20+'11'!T20+'12'!T20+'13'!T20+'14'!T20</f>
        <v>0</v>
      </c>
      <c r="U20" s="623">
        <f>9!U20+'10'!U20+'11'!U20+'12'!U20+'13'!U20+'14'!U20</f>
        <v>0</v>
      </c>
      <c r="V20" s="4"/>
      <c r="W20" s="4"/>
      <c r="X20" s="4"/>
      <c r="Y20" s="3"/>
    </row>
    <row r="21" spans="1:25" ht="24" customHeight="1" thickBot="1">
      <c r="A21" s="459">
        <v>13</v>
      </c>
      <c r="B21" s="33" t="s">
        <v>36</v>
      </c>
      <c r="C21" s="22" t="s">
        <v>2</v>
      </c>
      <c r="D21" s="622">
        <f>9!D21+'10'!D21+'11'!D21+'12'!D21+'13'!D21+'14'!D21</f>
        <v>1943</v>
      </c>
      <c r="E21" s="622">
        <f>9!E21+'10'!E21+'11'!E21+'12'!E21+'13'!E21+'14'!E21</f>
        <v>0</v>
      </c>
      <c r="F21" s="622">
        <f>9!F21+'10'!F21+'11'!F21+'12'!F21+'13'!F21+'14'!F21</f>
        <v>1943</v>
      </c>
      <c r="G21" s="622">
        <f>9!G21+'10'!G21+'11'!G21+'12'!G21+'13'!G21+'14'!G21</f>
        <v>0</v>
      </c>
      <c r="H21" s="622">
        <f>9!H21+'10'!H21+'11'!H21+'12'!H21+'13'!H21+'14'!H21</f>
        <v>1943</v>
      </c>
      <c r="I21" s="622">
        <f>9!I21+'10'!I21+'11'!I21+'12'!I21+'13'!I21+'14'!I21</f>
        <v>0</v>
      </c>
      <c r="J21" s="624">
        <f>9!J21+'10'!J21+'11'!J21+'12'!J21+'13'!J21+'14'!J21</f>
        <v>0</v>
      </c>
      <c r="K21" s="622">
        <f>9!K21+'10'!K21+'11'!K21+'12'!K21+'13'!K21+'14'!K21</f>
        <v>0</v>
      </c>
      <c r="L21" s="622">
        <f>9!L21+'10'!L21+'11'!L21+'12'!L21+'13'!L21+'14'!L21</f>
        <v>0</v>
      </c>
      <c r="M21" s="622">
        <f>9!M21+'10'!M21+'11'!M21+'12'!M21+'13'!M21+'14'!M21</f>
        <v>420</v>
      </c>
      <c r="N21" s="622">
        <f>9!N21+'10'!N21+'11'!N21+'12'!N21+'13'!N21+'14'!N21</f>
        <v>918</v>
      </c>
      <c r="O21" s="622">
        <f>9!O21+'10'!O21+'11'!O21+'12'!O21+'13'!O21+'14'!O21</f>
        <v>0</v>
      </c>
      <c r="P21" s="622">
        <f>9!P21+'10'!P21+'11'!P21+'12'!P21+'13'!P21+'14'!P21</f>
        <v>318</v>
      </c>
      <c r="Q21" s="622">
        <f>9!Q21+'10'!Q21+'11'!Q21+'12'!Q21+'13'!Q21+'14'!Q21</f>
        <v>287</v>
      </c>
      <c r="R21" s="622">
        <f>9!R21+'10'!R21+'11'!R21+'12'!R21+'13'!R21+'14'!R21</f>
        <v>0</v>
      </c>
      <c r="S21" s="622">
        <f>9!S21+'10'!S21+'11'!S21+'12'!S21+'13'!S21+'14'!S21</f>
        <v>0</v>
      </c>
      <c r="T21" s="622">
        <f>9!T21+'10'!T21+'11'!T21+'12'!T21+'13'!T21+'14'!T21</f>
        <v>0</v>
      </c>
      <c r="U21" s="622">
        <f>9!U21+'10'!U21+'11'!U21+'12'!U21+'13'!U21+'14'!U21</f>
        <v>0</v>
      </c>
      <c r="V21" s="4"/>
      <c r="W21" s="4"/>
      <c r="X21" s="4"/>
      <c r="Y21" s="5"/>
    </row>
    <row r="22" spans="1:25" ht="20.25" customHeight="1" thickBot="1">
      <c r="A22" s="461">
        <v>14</v>
      </c>
      <c r="B22" s="603" t="s">
        <v>37</v>
      </c>
      <c r="C22" s="604" t="s">
        <v>2</v>
      </c>
      <c r="D22" s="623">
        <f>9!D22+'10'!D22+'11'!D22+'12'!D22+'13'!D22+'14'!D22</f>
        <v>500</v>
      </c>
      <c r="E22" s="623">
        <f>9!E22+'10'!E22+'11'!E22+'12'!E22+'13'!E22+'14'!E22</f>
        <v>87</v>
      </c>
      <c r="F22" s="623">
        <f>9!F22+'10'!F22+'11'!F22+'12'!F22+'13'!F22+'14'!F22</f>
        <v>413</v>
      </c>
      <c r="G22" s="623">
        <f>9!G22+'10'!G22+'11'!G22+'12'!G22+'13'!G22+'14'!G22</f>
        <v>0</v>
      </c>
      <c r="H22" s="623">
        <f>9!H22+'10'!H22+'11'!H22+'12'!H22+'13'!H22+'14'!H22</f>
        <v>413</v>
      </c>
      <c r="I22" s="623">
        <f>9!I22+'10'!I22+'11'!I22+'12'!I22+'13'!I22+'14'!I22</f>
        <v>0</v>
      </c>
      <c r="J22" s="624">
        <f>9!J22+'10'!J22+'11'!J22+'12'!J22+'13'!J22+'14'!J22</f>
        <v>0</v>
      </c>
      <c r="K22" s="623">
        <f>9!K22+'10'!K22+'11'!K22+'12'!K22+'13'!K22+'14'!K22</f>
        <v>0</v>
      </c>
      <c r="L22" s="623">
        <f>9!L22+'10'!L22+'11'!L22+'12'!L22+'13'!L22+'14'!L22</f>
        <v>0</v>
      </c>
      <c r="M22" s="623">
        <f>9!M22+'10'!M22+'11'!M22+'12'!M22+'13'!M22+'14'!M22</f>
        <v>264</v>
      </c>
      <c r="N22" s="623">
        <f>9!N22+'10'!N22+'11'!N22+'12'!N22+'13'!N22+'14'!N22</f>
        <v>50</v>
      </c>
      <c r="O22" s="623">
        <f>9!O22+'10'!O22+'11'!O22+'12'!O22+'13'!O22+'14'!O22</f>
        <v>99</v>
      </c>
      <c r="P22" s="623">
        <f>9!P22+'10'!P22+'11'!P22+'12'!P22+'13'!P22+'14'!P22</f>
        <v>0</v>
      </c>
      <c r="Q22" s="623">
        <f>9!Q22+'10'!Q22+'11'!Q22+'12'!Q22+'13'!Q22+'14'!Q22</f>
        <v>0</v>
      </c>
      <c r="R22" s="623">
        <f>9!R22+'10'!R22+'11'!R22+'12'!R22+'13'!R22+'14'!R22</f>
        <v>0</v>
      </c>
      <c r="S22" s="623">
        <f>9!S22+'10'!S22+'11'!S22+'12'!S22+'13'!S22+'14'!S22</f>
        <v>0</v>
      </c>
      <c r="T22" s="623">
        <f>9!T22+'10'!T22+'11'!T22+'12'!T22+'13'!T22+'14'!T22</f>
        <v>0</v>
      </c>
      <c r="U22" s="623">
        <f>9!U22+'10'!U22+'11'!U22+'12'!U22+'13'!U22+'14'!U22</f>
        <v>0</v>
      </c>
      <c r="V22" s="4"/>
      <c r="W22" s="4"/>
      <c r="X22" s="4"/>
      <c r="Y22" s="3"/>
    </row>
    <row r="23" spans="1:25" ht="24" customHeight="1" thickBot="1">
      <c r="A23" s="461">
        <v>15</v>
      </c>
      <c r="B23" s="33" t="s">
        <v>38</v>
      </c>
      <c r="C23" s="22" t="s">
        <v>35</v>
      </c>
      <c r="D23" s="622">
        <f>9!D23+'10'!D23+'11'!D23+'12'!D23+'13'!D23+'14'!D23</f>
        <v>199777</v>
      </c>
      <c r="E23" s="622">
        <f>9!E23+'10'!E23+'11'!E23+'12'!E23+'13'!E23+'14'!E23</f>
        <v>145126.5</v>
      </c>
      <c r="F23" s="622">
        <f>9!F23+'10'!F23+'11'!F23+'12'!F23+'13'!F23+'14'!F23</f>
        <v>195609.5</v>
      </c>
      <c r="G23" s="622">
        <f>9!G23+'10'!G23+'11'!G23+'12'!G23+'13'!G23+'14'!G23</f>
        <v>108029</v>
      </c>
      <c r="H23" s="622">
        <f>9!H23+'10'!H23+'11'!H23+'12'!H23+'13'!H23+'14'!H23</f>
        <v>54650.5</v>
      </c>
      <c r="I23" s="622">
        <f>9!I23+'10'!I23+'11'!I23+'12'!I23+'13'!I23+'14'!I23</f>
        <v>0</v>
      </c>
      <c r="J23" s="624">
        <f>9!J23+'10'!J23+'11'!J23+'12'!J23+'13'!J23+'14'!J23</f>
        <v>76077</v>
      </c>
      <c r="K23" s="622">
        <f>9!K23+'10'!K23+'11'!K23+'12'!K23+'13'!K23+'14'!K23</f>
        <v>0</v>
      </c>
      <c r="L23" s="622">
        <f>9!L23+'10'!L23+'11'!L23+'12'!L23+'13'!L23+'14'!L23</f>
        <v>0</v>
      </c>
      <c r="M23" s="622">
        <f>9!M23+'10'!M23+'11'!M23+'12'!M23+'13'!M23+'14'!M23</f>
        <v>9306.333333333334</v>
      </c>
      <c r="N23" s="622">
        <f>9!N23+'10'!N23+'11'!N23+'12'!N23+'13'!N23+'14'!N23</f>
        <v>9306.333333333334</v>
      </c>
      <c r="O23" s="622">
        <f>9!O23+'10'!O23+'11'!O23+'12'!O23+'13'!O23+'14'!O23</f>
        <v>36037.833333333336</v>
      </c>
      <c r="P23" s="622">
        <f>9!P23+'10'!P23+'11'!P23+'12'!P23+'13'!P23+'14'!P23</f>
        <v>0</v>
      </c>
      <c r="Q23" s="622">
        <f>9!Q23+'10'!Q23+'11'!Q23+'12'!Q23+'13'!Q23+'14'!Q23</f>
        <v>0</v>
      </c>
      <c r="R23" s="622">
        <f>9!R23+'10'!R23+'11'!R23+'12'!R23+'13'!R23+'14'!R23</f>
        <v>0</v>
      </c>
      <c r="S23" s="622">
        <f>9!S23+'10'!S23+'11'!S23+'12'!S23+'13'!S23+'14'!S23</f>
        <v>0</v>
      </c>
      <c r="T23" s="622">
        <f>9!T23+'10'!T23+'11'!T23+'12'!T23+'13'!T23+'14'!T23</f>
        <v>0</v>
      </c>
      <c r="U23" s="622">
        <f>9!U23+'10'!U23+'11'!U23+'12'!U23+'13'!U23+'14'!U23</f>
        <v>0</v>
      </c>
      <c r="V23" s="4"/>
      <c r="W23" s="4"/>
      <c r="X23" s="4"/>
      <c r="Y23" s="3"/>
    </row>
    <row r="24" spans="1:25" ht="32.25" thickBot="1">
      <c r="A24" s="459">
        <v>16</v>
      </c>
      <c r="B24" s="603" t="s">
        <v>39</v>
      </c>
      <c r="C24" s="604" t="s">
        <v>2</v>
      </c>
      <c r="D24" s="623">
        <f>9!D24+'10'!D24+'11'!D24+'12'!D24+'13'!D24+'14'!D24</f>
        <v>1881</v>
      </c>
      <c r="E24" s="623">
        <f>9!E24+'10'!E24+'11'!E24+'12'!E24+'13'!E24+'14'!E24</f>
        <v>0</v>
      </c>
      <c r="F24" s="623">
        <f>9!F24+'10'!F24+'11'!F24+'12'!F24+'13'!F24+'14'!F24</f>
        <v>1881</v>
      </c>
      <c r="G24" s="623">
        <f>9!G24+'10'!G24+'11'!G24+'12'!G24+'13'!G24+'14'!G24</f>
        <v>0</v>
      </c>
      <c r="H24" s="623">
        <f>9!H24+'10'!H24+'11'!H24+'12'!H24+'13'!H24+'14'!H24</f>
        <v>1881</v>
      </c>
      <c r="I24" s="623"/>
      <c r="J24" s="624"/>
      <c r="K24" s="623"/>
      <c r="L24" s="623"/>
      <c r="M24" s="623">
        <f>9!M24+'10'!M24+'11'!M24+'12'!M24+'13'!M24+'14'!M24</f>
        <v>434</v>
      </c>
      <c r="N24" s="623">
        <f>9!N24+'10'!N24+'11'!N24+'12'!N24+'13'!N24+'14'!N24</f>
        <v>853</v>
      </c>
      <c r="O24" s="623"/>
      <c r="P24" s="623">
        <f>9!P24+'10'!P24+'11'!P24+'12'!P24+'13'!P24+'14'!P24</f>
        <v>290</v>
      </c>
      <c r="Q24" s="623">
        <f>9!Q24+'10'!Q24+'11'!Q24+'12'!Q24+'13'!Q24+'14'!Q24</f>
        <v>304</v>
      </c>
      <c r="R24" s="623"/>
      <c r="S24" s="623"/>
      <c r="T24" s="623"/>
      <c r="U24" s="623"/>
      <c r="V24" s="4"/>
      <c r="W24" s="4"/>
      <c r="X24" s="4"/>
      <c r="Y24" s="3"/>
    </row>
    <row r="25" spans="1:25" ht="22.5" customHeight="1" thickBot="1">
      <c r="A25" s="461">
        <v>17</v>
      </c>
      <c r="B25" s="33" t="s">
        <v>40</v>
      </c>
      <c r="C25" s="22" t="s">
        <v>41</v>
      </c>
      <c r="D25" s="622">
        <f>9!D25+'10'!D25+'11'!D25+'12'!D25+'13'!D25+'14'!D25</f>
        <v>864.8800000000001</v>
      </c>
      <c r="E25" s="622">
        <f>9!E25+'10'!E25+'11'!E25+'12'!E25+'13'!E25+'14'!E25</f>
        <v>0</v>
      </c>
      <c r="F25" s="622">
        <f>9!F25+'10'!F25+'11'!F25+'12'!F25+'13'!F25+'14'!F25</f>
        <v>864.8764000000001</v>
      </c>
      <c r="G25" s="622">
        <f>9!G25+'10'!G25+'11'!G25+'12'!G25+'13'!G25+'14'!G25</f>
        <v>0</v>
      </c>
      <c r="H25" s="622">
        <f>9!H25+'10'!H25+'11'!H25+'12'!H25+'13'!H25+'14'!H25</f>
        <v>864.8764000000001</v>
      </c>
      <c r="I25" s="622"/>
      <c r="J25" s="624"/>
      <c r="K25" s="622"/>
      <c r="L25" s="622"/>
      <c r="M25" s="622">
        <f>9!M25+'10'!M25+'11'!M25+'12'!M25+'13'!M25+'14'!M25</f>
        <v>69.26</v>
      </c>
      <c r="N25" s="622">
        <f>9!N25+'10'!N25+'11'!N25+'12'!N25+'13'!N25+'14'!N25</f>
        <v>118.02666666666667</v>
      </c>
      <c r="O25" s="622">
        <f>9!O25+'10'!O25+'11'!O25+'12'!O25+'13'!O25+'14'!O25</f>
        <v>388.4666666666667</v>
      </c>
      <c r="P25" s="622">
        <f>9!P25+'10'!P25+'11'!P25+'12'!P25+'13'!P25+'14'!P25</f>
        <v>265.56666666666666</v>
      </c>
      <c r="Q25" s="622"/>
      <c r="R25" s="622">
        <f>9!R25+'10'!R25+'11'!R25+'12'!R25+'13'!R25+'14'!R25</f>
        <v>15</v>
      </c>
      <c r="S25" s="622">
        <f>9!S25+'10'!S25+'11'!S25+'12'!S25+'13'!S25+'14'!S25</f>
        <v>8.56</v>
      </c>
      <c r="T25" s="622"/>
      <c r="U25" s="622"/>
      <c r="V25" s="4"/>
      <c r="W25" s="4"/>
      <c r="X25" s="4"/>
      <c r="Y25" s="3"/>
    </row>
    <row r="26" spans="1:25" ht="23.25" customHeight="1" thickBot="1">
      <c r="A26" s="461">
        <v>18</v>
      </c>
      <c r="B26" s="33" t="s">
        <v>42</v>
      </c>
      <c r="C26" s="22" t="s">
        <v>41</v>
      </c>
      <c r="D26" s="622"/>
      <c r="E26" s="622"/>
      <c r="F26" s="622"/>
      <c r="G26" s="622"/>
      <c r="H26" s="622"/>
      <c r="I26" s="622"/>
      <c r="J26" s="624"/>
      <c r="K26" s="622"/>
      <c r="L26" s="622"/>
      <c r="M26" s="622"/>
      <c r="N26" s="622"/>
      <c r="O26" s="622"/>
      <c r="P26" s="622"/>
      <c r="Q26" s="622"/>
      <c r="R26" s="622"/>
      <c r="S26" s="622"/>
      <c r="T26" s="622"/>
      <c r="U26" s="622"/>
      <c r="V26" s="4"/>
      <c r="W26" s="4"/>
      <c r="X26" s="4"/>
      <c r="Y26" s="3"/>
    </row>
    <row r="27" spans="1:25" ht="21" customHeight="1" thickBot="1">
      <c r="A27" s="459">
        <v>19</v>
      </c>
      <c r="B27" s="603" t="s">
        <v>43</v>
      </c>
      <c r="C27" s="604" t="s">
        <v>19</v>
      </c>
      <c r="D27" s="623">
        <f>9!D27+'10'!D27+'11'!D27+'12'!D27+'13'!D27+'14'!D27</f>
        <v>2.1887124475</v>
      </c>
      <c r="E27" s="623">
        <f>9!E27+'10'!E27+'11'!E27+'12'!E27+'13'!E27+'14'!E27</f>
        <v>0.41316821085</v>
      </c>
      <c r="F27" s="623">
        <f>9!F27+'10'!F27+'11'!F27+'12'!F27+'13'!F27+'14'!F27</f>
        <v>2.18354423665</v>
      </c>
      <c r="G27" s="623">
        <f>9!G27+'10'!G27+'11'!G27+'12'!G27+'13'!G27+'14'!G27</f>
        <v>0</v>
      </c>
      <c r="H27" s="623">
        <f>9!H27+'10'!H27+'11'!H27+'12'!H27+'13'!H27+'14'!H27</f>
        <v>2.18354423665</v>
      </c>
      <c r="I27" s="623">
        <f>9!I27+'10'!I27+'11'!I27+'12'!I27+'13'!I27+'14'!I27</f>
        <v>0</v>
      </c>
      <c r="J27" s="624">
        <f>9!J27+'10'!J27+'11'!J27+'12'!J27+'13'!J27+'14'!J27</f>
        <v>0</v>
      </c>
      <c r="K27" s="623">
        <f>9!K27+'10'!K27+'11'!K27+'12'!K27+'13'!K27+'14'!K27</f>
        <v>0.673</v>
      </c>
      <c r="L27" s="623">
        <f>9!L27+'10'!L27+'11'!L27+'12'!L27+'13'!L27+'14'!L27</f>
        <v>0.1</v>
      </c>
      <c r="M27" s="623">
        <f>9!M27+'10'!M27+'11'!M27+'12'!M27+'13'!M27+'14'!M27</f>
        <v>0.304</v>
      </c>
      <c r="N27" s="623">
        <f>9!N27+'10'!N27+'11'!N27+'12'!N27+'13'!N27+'14'!N27</f>
        <v>0.72473452165</v>
      </c>
      <c r="O27" s="623">
        <f>9!O27+'10'!O27+'11'!O27+'12'!O27+'13'!O27+'14'!O27</f>
        <v>0.3315</v>
      </c>
      <c r="P27" s="623"/>
      <c r="Q27" s="623"/>
      <c r="R27" s="623"/>
      <c r="S27" s="623"/>
      <c r="T27" s="623"/>
      <c r="U27" s="623"/>
      <c r="V27" s="4"/>
      <c r="W27" s="4"/>
      <c r="X27" s="4"/>
      <c r="Y27" s="3"/>
    </row>
    <row r="28" spans="1:25" ht="25.5" customHeight="1" thickBot="1">
      <c r="A28" s="461">
        <v>20</v>
      </c>
      <c r="B28" s="33" t="s">
        <v>44</v>
      </c>
      <c r="C28" s="22" t="s">
        <v>45</v>
      </c>
      <c r="D28" s="622"/>
      <c r="E28" s="622"/>
      <c r="F28" s="622" t="e">
        <f>9!F28+'10'!F28+'11'!F28+'12'!F28+'13'!F28+'14'!F28</f>
        <v>#VALUE!</v>
      </c>
      <c r="G28" s="622" t="e">
        <f>9!G28+'10'!G28+'11'!G28+'12'!G28+'13'!G28+'14'!G28</f>
        <v>#VALUE!</v>
      </c>
      <c r="H28" s="622"/>
      <c r="I28" s="622"/>
      <c r="J28" s="624"/>
      <c r="K28" s="622"/>
      <c r="L28" s="622"/>
      <c r="M28" s="622"/>
      <c r="N28" s="622"/>
      <c r="O28" s="622"/>
      <c r="P28" s="622"/>
      <c r="Q28" s="622"/>
      <c r="R28" s="622"/>
      <c r="S28" s="622"/>
      <c r="T28" s="622"/>
      <c r="U28" s="622"/>
      <c r="V28" s="4"/>
      <c r="W28" s="4"/>
      <c r="X28" s="4"/>
      <c r="Y28" s="3"/>
    </row>
    <row r="29" spans="1:25" ht="20.25" customHeight="1" thickBot="1">
      <c r="A29" s="461">
        <v>21</v>
      </c>
      <c r="B29" s="33" t="s">
        <v>46</v>
      </c>
      <c r="C29" s="22" t="s">
        <v>19</v>
      </c>
      <c r="D29" s="622"/>
      <c r="E29" s="622"/>
      <c r="F29" s="622" t="e">
        <f>9!F29+'10'!F29+'11'!F29+'12'!F29+'13'!F29+'14'!F29</f>
        <v>#VALUE!</v>
      </c>
      <c r="G29" s="622" t="e">
        <f>9!G29+'10'!G29+'11'!G29+'12'!G29+'13'!G29+'14'!G29</f>
        <v>#VALUE!</v>
      </c>
      <c r="H29" s="622"/>
      <c r="I29" s="622"/>
      <c r="J29" s="624"/>
      <c r="K29" s="622"/>
      <c r="L29" s="622"/>
      <c r="M29" s="622"/>
      <c r="N29" s="622"/>
      <c r="O29" s="622"/>
      <c r="P29" s="622"/>
      <c r="Q29" s="622"/>
      <c r="R29" s="622"/>
      <c r="S29" s="622"/>
      <c r="T29" s="622"/>
      <c r="U29" s="622"/>
      <c r="V29" s="4"/>
      <c r="W29" s="4"/>
      <c r="X29" s="4"/>
      <c r="Y29" s="3"/>
    </row>
    <row r="30" spans="1:25" ht="20.25" customHeight="1" thickBot="1">
      <c r="A30" s="459">
        <v>22</v>
      </c>
      <c r="B30" s="603" t="s">
        <v>47</v>
      </c>
      <c r="C30" s="604" t="s">
        <v>19</v>
      </c>
      <c r="D30" s="623"/>
      <c r="E30" s="623"/>
      <c r="F30" s="623" t="e">
        <f>9!F30+'10'!F30+'11'!F30+'12'!F30+'13'!F30+'14'!F30</f>
        <v>#VALUE!</v>
      </c>
      <c r="G30" s="623" t="e">
        <f>9!G30+'10'!G30+'11'!G30+'12'!G30+'13'!G30+'14'!G30</f>
        <v>#VALUE!</v>
      </c>
      <c r="H30" s="623"/>
      <c r="I30" s="623"/>
      <c r="J30" s="624"/>
      <c r="K30" s="623"/>
      <c r="L30" s="623"/>
      <c r="M30" s="623"/>
      <c r="N30" s="623"/>
      <c r="O30" s="623"/>
      <c r="P30" s="623"/>
      <c r="Q30" s="623"/>
      <c r="R30" s="623"/>
      <c r="S30" s="623"/>
      <c r="T30" s="623"/>
      <c r="U30" s="623"/>
      <c r="V30" s="4"/>
      <c r="W30" s="4"/>
      <c r="X30" s="4"/>
      <c r="Y30" s="3"/>
    </row>
    <row r="31" spans="1:24" ht="27" customHeight="1" thickBot="1">
      <c r="A31" s="461">
        <v>23</v>
      </c>
      <c r="B31" s="33" t="s">
        <v>48</v>
      </c>
      <c r="C31" s="22" t="s">
        <v>41</v>
      </c>
      <c r="D31" s="622">
        <f>9!D31+'10'!D31+'11'!D31+'12'!D31+'13'!D31+'14'!D31</f>
        <v>150</v>
      </c>
      <c r="E31" s="622">
        <f>9!E31+'10'!E31+'11'!E31+'12'!E31+'13'!E31+'14'!E31</f>
        <v>20</v>
      </c>
      <c r="F31" s="622" t="e">
        <f>9!F31+'10'!F31+'11'!F31+'12'!F31+'13'!F31+'14'!F31</f>
        <v>#VALUE!</v>
      </c>
      <c r="G31" s="622" t="e">
        <f>9!G31+'10'!G31+'11'!G31+'12'!G31+'13'!G31+'14'!G31</f>
        <v>#VALUE!</v>
      </c>
      <c r="H31" s="622"/>
      <c r="I31" s="622"/>
      <c r="J31" s="624"/>
      <c r="K31" s="622"/>
      <c r="L31" s="622"/>
      <c r="M31" s="622"/>
      <c r="N31" s="622"/>
      <c r="O31" s="622"/>
      <c r="P31" s="622"/>
      <c r="Q31" s="622"/>
      <c r="R31" s="622"/>
      <c r="S31" s="622"/>
      <c r="T31" s="622"/>
      <c r="U31" s="622"/>
      <c r="V31" s="4"/>
      <c r="W31" s="4"/>
      <c r="X31" s="4"/>
    </row>
    <row r="32" spans="1:24" ht="15">
      <c r="A32" s="6"/>
      <c r="B32" s="7"/>
      <c r="C32" s="8"/>
      <c r="D32" s="8"/>
      <c r="E32" s="8"/>
      <c r="F32" s="9"/>
      <c r="G32" s="10"/>
      <c r="H32" s="10"/>
      <c r="I32" s="9"/>
      <c r="J32" s="11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ht="15">
      <c r="A33" s="6"/>
      <c r="B33" s="7"/>
      <c r="C33" s="8"/>
      <c r="D33" s="8"/>
      <c r="E33" s="8"/>
      <c r="F33" s="9"/>
      <c r="G33" s="10"/>
      <c r="H33" s="10"/>
      <c r="I33" s="9"/>
      <c r="J33" s="11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15">
      <c r="A34" s="6"/>
      <c r="B34" s="732"/>
      <c r="C34" s="732"/>
      <c r="D34" s="732"/>
      <c r="E34" s="732"/>
      <c r="F34" s="732"/>
      <c r="G34" s="732"/>
      <c r="H34" s="732"/>
      <c r="I34" s="9"/>
      <c r="J34" s="11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5">
      <c r="A35" s="6"/>
      <c r="B35" s="7"/>
      <c r="C35" s="8"/>
      <c r="F35" s="9"/>
      <c r="G35" s="10"/>
      <c r="H35" s="10"/>
      <c r="I35" s="9"/>
      <c r="J35" s="11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</sheetData>
  <sheetProtection selectLockedCells="1" selectUnlockedCells="1"/>
  <mergeCells count="11">
    <mergeCell ref="I5:J5"/>
    <mergeCell ref="D4:D5"/>
    <mergeCell ref="E4:E5"/>
    <mergeCell ref="B34:H34"/>
    <mergeCell ref="A1:AA2"/>
    <mergeCell ref="A4:A5"/>
    <mergeCell ref="B4:B5"/>
    <mergeCell ref="C4:C5"/>
    <mergeCell ref="F4:G4"/>
    <mergeCell ref="H4:H5"/>
    <mergeCell ref="I4:U4"/>
  </mergeCells>
  <printOptions/>
  <pageMargins left="0.4330708661417323" right="0.15748031496062992" top="0.5511811023622047" bottom="0.2755905511811024" header="0.5118110236220472" footer="0.5118110236220472"/>
  <pageSetup fitToHeight="1" fitToWidth="1" horizontalDpi="300" verticalDpi="300" orientation="landscape" paperSize="9" scale="65" r:id="rId1"/>
  <colBreaks count="1" manualBreakCount="1">
    <brk id="21" max="3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"/>
  <sheetViews>
    <sheetView view="pageBreakPreview" zoomScale="85" zoomScaleNormal="85" zoomScaleSheetLayoutView="85" zoomScalePageLayoutView="0" workbookViewId="0" topLeftCell="A1">
      <selection activeCell="E17" sqref="E17"/>
    </sheetView>
  </sheetViews>
  <sheetFormatPr defaultColWidth="9.00390625" defaultRowHeight="12.75"/>
  <cols>
    <col min="1" max="1" width="4.00390625" style="0" customWidth="1"/>
    <col min="2" max="2" width="36.125" style="0" customWidth="1"/>
    <col min="4" max="4" width="18.375" style="0" customWidth="1"/>
    <col min="5" max="5" width="16.125" style="0" customWidth="1"/>
    <col min="6" max="6" width="9.25390625" style="0" hidden="1" customWidth="1"/>
    <col min="7" max="7" width="12.25390625" style="0" hidden="1" customWidth="1"/>
    <col min="8" max="8" width="12.25390625" style="0" customWidth="1"/>
    <col min="17" max="17" width="8.75390625" style="0" customWidth="1"/>
    <col min="21" max="21" width="9.75390625" style="0" customWidth="1"/>
  </cols>
  <sheetData>
    <row r="1" spans="1:27" ht="13.5" customHeight="1">
      <c r="A1" s="768" t="s">
        <v>52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  <c r="X1" s="768"/>
      <c r="Y1" s="768"/>
      <c r="Z1" s="768"/>
      <c r="AA1" s="768"/>
    </row>
    <row r="2" spans="1:27" ht="33" customHeight="1">
      <c r="A2" s="768"/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8"/>
      <c r="X2" s="768"/>
      <c r="Y2" s="768"/>
      <c r="Z2" s="768"/>
      <c r="AA2" s="768"/>
    </row>
    <row r="3" spans="18:20" ht="14.25" customHeight="1" thickBot="1">
      <c r="R3" s="519" t="s">
        <v>81</v>
      </c>
      <c r="T3" s="520" t="s">
        <v>85</v>
      </c>
    </row>
    <row r="4" spans="1:24" ht="31.5" customHeight="1" thickBot="1">
      <c r="A4" s="777" t="s">
        <v>6</v>
      </c>
      <c r="B4" s="766" t="s">
        <v>7</v>
      </c>
      <c r="C4" s="779" t="s">
        <v>8</v>
      </c>
      <c r="D4" s="764" t="s">
        <v>83</v>
      </c>
      <c r="E4" s="766" t="s">
        <v>84</v>
      </c>
      <c r="F4" s="771" t="s">
        <v>50</v>
      </c>
      <c r="G4" s="772"/>
      <c r="H4" s="730" t="s">
        <v>82</v>
      </c>
      <c r="I4" s="773" t="s">
        <v>9</v>
      </c>
      <c r="J4" s="774"/>
      <c r="K4" s="774"/>
      <c r="L4" s="774"/>
      <c r="M4" s="774"/>
      <c r="N4" s="774"/>
      <c r="O4" s="774"/>
      <c r="P4" s="774"/>
      <c r="Q4" s="774"/>
      <c r="R4" s="774"/>
      <c r="S4" s="774"/>
      <c r="T4" s="775"/>
      <c r="U4" s="776"/>
      <c r="V4" s="1"/>
      <c r="W4" s="1"/>
      <c r="X4" s="1"/>
    </row>
    <row r="5" spans="1:25" ht="23.25" customHeight="1" thickBot="1">
      <c r="A5" s="778"/>
      <c r="B5" s="767"/>
      <c r="C5" s="780"/>
      <c r="D5" s="765"/>
      <c r="E5" s="767"/>
      <c r="F5" s="16" t="s">
        <v>49</v>
      </c>
      <c r="G5" s="54" t="s">
        <v>10</v>
      </c>
      <c r="H5" s="731"/>
      <c r="I5" s="757" t="s">
        <v>4</v>
      </c>
      <c r="J5" s="769"/>
      <c r="K5" s="121" t="s">
        <v>3</v>
      </c>
      <c r="L5" s="121" t="s">
        <v>0</v>
      </c>
      <c r="M5" s="121" t="s">
        <v>1</v>
      </c>
      <c r="N5" s="121" t="s">
        <v>5</v>
      </c>
      <c r="O5" s="121" t="s">
        <v>11</v>
      </c>
      <c r="P5" s="121" t="s">
        <v>12</v>
      </c>
      <c r="Q5" s="121" t="s">
        <v>13</v>
      </c>
      <c r="R5" s="121" t="s">
        <v>14</v>
      </c>
      <c r="S5" s="121" t="s">
        <v>15</v>
      </c>
      <c r="T5" s="121" t="s">
        <v>16</v>
      </c>
      <c r="U5" s="122" t="s">
        <v>17</v>
      </c>
      <c r="V5" s="2"/>
      <c r="W5" s="2"/>
      <c r="X5" s="2"/>
      <c r="Y5" s="3"/>
    </row>
    <row r="6" spans="1:25" ht="16.5" thickBot="1">
      <c r="A6" s="25"/>
      <c r="B6" s="19"/>
      <c r="C6" s="19"/>
      <c r="D6" s="524"/>
      <c r="E6" s="19"/>
      <c r="F6" s="18"/>
      <c r="G6" s="55"/>
      <c r="H6" s="22"/>
      <c r="I6" s="415" t="s">
        <v>49</v>
      </c>
      <c r="J6" s="474" t="s">
        <v>10</v>
      </c>
      <c r="K6" s="13"/>
      <c r="L6" s="14"/>
      <c r="M6" s="13"/>
      <c r="N6" s="14"/>
      <c r="O6" s="13"/>
      <c r="P6" s="14"/>
      <c r="Q6" s="13"/>
      <c r="R6" s="14"/>
      <c r="S6" s="13"/>
      <c r="T6" s="17"/>
      <c r="U6" s="15"/>
      <c r="V6" s="2"/>
      <c r="W6" s="2"/>
      <c r="X6" s="2"/>
      <c r="Y6" s="3"/>
    </row>
    <row r="7" spans="1:25" ht="21.75" customHeight="1">
      <c r="A7" s="67">
        <v>1</v>
      </c>
      <c r="B7" s="68" t="s">
        <v>18</v>
      </c>
      <c r="C7" s="107" t="s">
        <v>19</v>
      </c>
      <c r="D7" s="525">
        <v>732.087</v>
      </c>
      <c r="E7" s="525">
        <v>632.2860000000001</v>
      </c>
      <c r="F7" s="70">
        <f>F8+F9</f>
        <v>96.419</v>
      </c>
      <c r="G7" s="71">
        <f>G8+G9</f>
        <v>5.96</v>
      </c>
      <c r="H7" s="72">
        <f>F7-G7</f>
        <v>90.459</v>
      </c>
      <c r="I7" s="103">
        <f aca="true" t="shared" si="0" ref="I7:O7">I8+I9</f>
        <v>20</v>
      </c>
      <c r="J7" s="501">
        <v>16.1</v>
      </c>
      <c r="K7" s="103">
        <f t="shared" si="0"/>
        <v>12</v>
      </c>
      <c r="L7" s="103">
        <f t="shared" si="0"/>
        <v>15</v>
      </c>
      <c r="M7" s="103">
        <f t="shared" si="0"/>
        <v>15</v>
      </c>
      <c r="N7" s="103">
        <f t="shared" si="0"/>
        <v>15</v>
      </c>
      <c r="O7" s="103">
        <f t="shared" si="0"/>
        <v>13.459</v>
      </c>
      <c r="P7" s="73"/>
      <c r="Q7" s="73"/>
      <c r="R7" s="73"/>
      <c r="S7" s="73"/>
      <c r="T7" s="74"/>
      <c r="U7" s="75"/>
      <c r="V7" s="4"/>
      <c r="W7" s="4"/>
      <c r="X7" s="4"/>
      <c r="Y7" s="3"/>
    </row>
    <row r="8" spans="1:25" ht="21" customHeight="1">
      <c r="A8" s="76"/>
      <c r="B8" s="77" t="s">
        <v>20</v>
      </c>
      <c r="C8" s="108" t="s">
        <v>19</v>
      </c>
      <c r="D8" s="527">
        <v>291.756</v>
      </c>
      <c r="E8" s="528">
        <v>189.094</v>
      </c>
      <c r="F8" s="78">
        <v>86.419</v>
      </c>
      <c r="G8" s="79">
        <v>5.96</v>
      </c>
      <c r="H8" s="100">
        <f aca="true" t="shared" si="1" ref="H8:H27">F8-G8</f>
        <v>80.459</v>
      </c>
      <c r="I8" s="78">
        <v>10</v>
      </c>
      <c r="J8" s="502">
        <v>15.6</v>
      </c>
      <c r="K8" s="80">
        <v>12</v>
      </c>
      <c r="L8" s="80">
        <v>15</v>
      </c>
      <c r="M8" s="80">
        <v>15</v>
      </c>
      <c r="N8" s="80">
        <v>15</v>
      </c>
      <c r="O8" s="102">
        <v>13.459</v>
      </c>
      <c r="P8" s="80"/>
      <c r="Q8" s="80"/>
      <c r="R8" s="80"/>
      <c r="S8" s="80"/>
      <c r="T8" s="79"/>
      <c r="U8" s="81"/>
      <c r="V8" s="4"/>
      <c r="W8" s="4"/>
      <c r="X8" s="4"/>
      <c r="Y8" s="3"/>
    </row>
    <row r="9" spans="1:25" ht="24" customHeight="1" thickBot="1">
      <c r="A9" s="26"/>
      <c r="B9" s="31" t="s">
        <v>21</v>
      </c>
      <c r="C9" s="106" t="s">
        <v>19</v>
      </c>
      <c r="D9" s="529">
        <v>440.331</v>
      </c>
      <c r="E9" s="530">
        <v>443.192</v>
      </c>
      <c r="F9" s="114">
        <v>10</v>
      </c>
      <c r="G9" s="56">
        <v>0</v>
      </c>
      <c r="H9" s="101">
        <f t="shared" si="1"/>
        <v>10</v>
      </c>
      <c r="I9" s="52">
        <v>10</v>
      </c>
      <c r="J9" s="503">
        <v>0.5</v>
      </c>
      <c r="K9" s="37"/>
      <c r="L9" s="37"/>
      <c r="M9" s="37"/>
      <c r="N9" s="37"/>
      <c r="O9" s="37"/>
      <c r="P9" s="37"/>
      <c r="Q9" s="37"/>
      <c r="R9" s="37"/>
      <c r="S9" s="37"/>
      <c r="T9" s="38"/>
      <c r="U9" s="39"/>
      <c r="V9" s="4"/>
      <c r="W9" s="4"/>
      <c r="X9" s="4"/>
      <c r="Y9" s="3"/>
    </row>
    <row r="10" spans="1:25" ht="24" customHeight="1" thickBot="1">
      <c r="A10" s="27">
        <v>2</v>
      </c>
      <c r="B10" s="32" t="s">
        <v>22</v>
      </c>
      <c r="C10" s="21" t="s">
        <v>19</v>
      </c>
      <c r="D10" s="531"/>
      <c r="E10" s="521"/>
      <c r="F10" s="65">
        <v>33.382</v>
      </c>
      <c r="G10" s="57">
        <v>6.17</v>
      </c>
      <c r="H10" s="64">
        <f t="shared" si="1"/>
        <v>27.211999999999996</v>
      </c>
      <c r="I10" s="59">
        <v>3</v>
      </c>
      <c r="J10" s="504">
        <v>0.5</v>
      </c>
      <c r="K10" s="41">
        <v>3</v>
      </c>
      <c r="L10" s="41">
        <v>5</v>
      </c>
      <c r="M10" s="41">
        <v>5</v>
      </c>
      <c r="N10" s="41">
        <v>6</v>
      </c>
      <c r="O10" s="47">
        <v>5.21</v>
      </c>
      <c r="P10" s="41"/>
      <c r="Q10" s="41"/>
      <c r="R10" s="41"/>
      <c r="S10" s="41"/>
      <c r="T10" s="42"/>
      <c r="U10" s="43"/>
      <c r="V10" s="4"/>
      <c r="W10" s="4"/>
      <c r="X10" s="4"/>
      <c r="Y10" s="3"/>
    </row>
    <row r="11" spans="1:25" ht="22.5" customHeight="1" thickBot="1">
      <c r="A11" s="28">
        <v>3</v>
      </c>
      <c r="B11" s="33" t="s">
        <v>23</v>
      </c>
      <c r="C11" s="22" t="s">
        <v>19</v>
      </c>
      <c r="D11" s="529"/>
      <c r="E11" s="530"/>
      <c r="F11" s="36">
        <v>0</v>
      </c>
      <c r="G11" s="56">
        <v>0</v>
      </c>
      <c r="H11" s="61">
        <f t="shared" si="1"/>
        <v>0</v>
      </c>
      <c r="I11" s="48"/>
      <c r="J11" s="505"/>
      <c r="K11" s="44"/>
      <c r="L11" s="44"/>
      <c r="M11" s="44"/>
      <c r="N11" s="44"/>
      <c r="O11" s="44"/>
      <c r="P11" s="44"/>
      <c r="Q11" s="44"/>
      <c r="R11" s="44"/>
      <c r="S11" s="44"/>
      <c r="T11" s="45"/>
      <c r="U11" s="46"/>
      <c r="V11" s="4"/>
      <c r="W11" s="4"/>
      <c r="X11" s="4"/>
      <c r="Y11" s="3"/>
    </row>
    <row r="12" spans="1:25" ht="22.5" customHeight="1" thickBot="1">
      <c r="A12" s="27">
        <v>4</v>
      </c>
      <c r="B12" s="32" t="s">
        <v>24</v>
      </c>
      <c r="C12" s="21" t="s">
        <v>19</v>
      </c>
      <c r="D12" s="531">
        <v>283.9</v>
      </c>
      <c r="E12" s="521">
        <v>275.1</v>
      </c>
      <c r="F12" s="110">
        <v>14</v>
      </c>
      <c r="G12" s="99">
        <v>6</v>
      </c>
      <c r="H12" s="105">
        <f t="shared" si="1"/>
        <v>8</v>
      </c>
      <c r="I12" s="59"/>
      <c r="J12" s="504"/>
      <c r="K12" s="41"/>
      <c r="L12" s="41"/>
      <c r="M12" s="41">
        <v>2</v>
      </c>
      <c r="N12" s="41">
        <v>3</v>
      </c>
      <c r="O12" s="41">
        <v>3</v>
      </c>
      <c r="P12" s="47"/>
      <c r="Q12" s="41"/>
      <c r="R12" s="41"/>
      <c r="S12" s="41"/>
      <c r="T12" s="42"/>
      <c r="U12" s="43"/>
      <c r="V12" s="4"/>
      <c r="W12" s="4"/>
      <c r="X12" s="4"/>
      <c r="Y12" s="3"/>
    </row>
    <row r="13" spans="1:25" ht="20.25" customHeight="1" thickBot="1">
      <c r="A13" s="29">
        <v>5</v>
      </c>
      <c r="B13" s="34" t="s">
        <v>25</v>
      </c>
      <c r="C13" s="23" t="s">
        <v>19</v>
      </c>
      <c r="D13" s="532">
        <v>9.4</v>
      </c>
      <c r="E13" s="533">
        <v>8.87</v>
      </c>
      <c r="F13" s="62">
        <v>9.95337</v>
      </c>
      <c r="G13" s="56">
        <v>8.7</v>
      </c>
      <c r="H13" s="63">
        <f t="shared" si="1"/>
        <v>1.2533700000000003</v>
      </c>
      <c r="I13" s="48">
        <v>0.5</v>
      </c>
      <c r="J13" s="505">
        <v>9.8</v>
      </c>
      <c r="K13" s="44">
        <v>0.25</v>
      </c>
      <c r="L13" s="44">
        <v>0.25</v>
      </c>
      <c r="M13" s="44">
        <v>0.25</v>
      </c>
      <c r="N13" s="44"/>
      <c r="O13" s="44"/>
      <c r="P13" s="44"/>
      <c r="Q13" s="44"/>
      <c r="R13" s="44"/>
      <c r="S13" s="44"/>
      <c r="T13" s="45"/>
      <c r="U13" s="46"/>
      <c r="V13" s="4"/>
      <c r="W13" s="4"/>
      <c r="X13" s="4"/>
      <c r="Y13" s="3"/>
    </row>
    <row r="14" spans="1:25" ht="19.5" customHeight="1" thickBot="1">
      <c r="A14" s="27">
        <v>6</v>
      </c>
      <c r="B14" s="32" t="s">
        <v>26</v>
      </c>
      <c r="C14" s="21" t="s">
        <v>19</v>
      </c>
      <c r="D14" s="531">
        <v>26.185</v>
      </c>
      <c r="E14" s="521">
        <v>24.98</v>
      </c>
      <c r="F14" s="65">
        <v>7.618</v>
      </c>
      <c r="G14" s="57">
        <v>4.38</v>
      </c>
      <c r="H14" s="64">
        <f t="shared" si="1"/>
        <v>3.2380000000000004</v>
      </c>
      <c r="I14" s="59"/>
      <c r="J14" s="504">
        <v>3</v>
      </c>
      <c r="K14" s="41">
        <v>1</v>
      </c>
      <c r="L14" s="41">
        <v>1</v>
      </c>
      <c r="M14" s="104">
        <v>1.238</v>
      </c>
      <c r="N14" s="41"/>
      <c r="O14" s="41"/>
      <c r="P14" s="41"/>
      <c r="Q14" s="41"/>
      <c r="R14" s="41"/>
      <c r="S14" s="41"/>
      <c r="T14" s="42"/>
      <c r="U14" s="43"/>
      <c r="V14" s="4"/>
      <c r="W14" s="4"/>
      <c r="X14" s="4"/>
      <c r="Y14" s="3"/>
    </row>
    <row r="15" spans="1:25" ht="22.5" customHeight="1" thickBot="1">
      <c r="A15" s="29">
        <v>7</v>
      </c>
      <c r="B15" s="34" t="s">
        <v>27</v>
      </c>
      <c r="C15" s="23" t="s">
        <v>19</v>
      </c>
      <c r="D15" s="532">
        <v>0.74</v>
      </c>
      <c r="E15" s="533">
        <v>0.52</v>
      </c>
      <c r="F15" s="36">
        <v>0.2</v>
      </c>
      <c r="G15" s="56">
        <v>0</v>
      </c>
      <c r="H15" s="61">
        <f t="shared" si="1"/>
        <v>0.2</v>
      </c>
      <c r="I15" s="48">
        <v>0.2</v>
      </c>
      <c r="J15" s="505"/>
      <c r="K15" s="44"/>
      <c r="L15" s="44"/>
      <c r="M15" s="44"/>
      <c r="N15" s="44"/>
      <c r="O15" s="44"/>
      <c r="P15" s="44"/>
      <c r="Q15" s="44"/>
      <c r="R15" s="44"/>
      <c r="S15" s="44"/>
      <c r="T15" s="45"/>
      <c r="U15" s="46"/>
      <c r="V15" s="4"/>
      <c r="W15" s="4"/>
      <c r="X15" s="4"/>
      <c r="Y15" s="3"/>
    </row>
    <row r="16" spans="1:25" ht="20.25" customHeight="1" thickBot="1">
      <c r="A16" s="27">
        <v>8</v>
      </c>
      <c r="B16" s="32" t="s">
        <v>28</v>
      </c>
      <c r="C16" s="21" t="s">
        <v>29</v>
      </c>
      <c r="D16" s="531">
        <v>2.32</v>
      </c>
      <c r="E16" s="521">
        <v>2.32</v>
      </c>
      <c r="F16" s="65">
        <v>0.6607</v>
      </c>
      <c r="G16" s="66">
        <v>0.6607</v>
      </c>
      <c r="H16" s="60">
        <f t="shared" si="1"/>
        <v>0</v>
      </c>
      <c r="I16" s="59"/>
      <c r="J16" s="504"/>
      <c r="K16" s="47"/>
      <c r="L16" s="41"/>
      <c r="M16" s="41"/>
      <c r="N16" s="41"/>
      <c r="O16" s="41"/>
      <c r="P16" s="41"/>
      <c r="Q16" s="41"/>
      <c r="R16" s="41"/>
      <c r="S16" s="41"/>
      <c r="T16" s="42"/>
      <c r="U16" s="43"/>
      <c r="V16" s="4"/>
      <c r="W16" s="4"/>
      <c r="X16" s="4"/>
      <c r="Y16" s="3"/>
    </row>
    <row r="17" spans="1:25" ht="21.75" customHeight="1" thickBot="1">
      <c r="A17" s="29">
        <v>9</v>
      </c>
      <c r="B17" s="34" t="s">
        <v>30</v>
      </c>
      <c r="C17" s="23" t="s">
        <v>31</v>
      </c>
      <c r="D17" s="532">
        <v>216</v>
      </c>
      <c r="E17" s="533">
        <v>216</v>
      </c>
      <c r="F17" s="36">
        <v>0</v>
      </c>
      <c r="G17" s="56">
        <v>0</v>
      </c>
      <c r="H17" s="61"/>
      <c r="I17" s="48"/>
      <c r="J17" s="505"/>
      <c r="K17" s="44"/>
      <c r="L17" s="44"/>
      <c r="M17" s="44"/>
      <c r="N17" s="44"/>
      <c r="O17" s="44"/>
      <c r="P17" s="44"/>
      <c r="Q17" s="44"/>
      <c r="R17" s="44"/>
      <c r="S17" s="44"/>
      <c r="T17" s="45"/>
      <c r="U17" s="46"/>
      <c r="V17" s="4"/>
      <c r="W17" s="4"/>
      <c r="X17" s="4"/>
      <c r="Y17" s="3"/>
    </row>
    <row r="18" spans="1:25" ht="21" customHeight="1" thickBot="1">
      <c r="A18" s="27">
        <v>10</v>
      </c>
      <c r="B18" s="32" t="s">
        <v>32</v>
      </c>
      <c r="C18" s="21" t="s">
        <v>2</v>
      </c>
      <c r="D18" s="531">
        <v>2316</v>
      </c>
      <c r="E18" s="521">
        <v>0</v>
      </c>
      <c r="F18" s="40">
        <v>2316</v>
      </c>
      <c r="G18" s="57">
        <v>0</v>
      </c>
      <c r="H18" s="60">
        <f t="shared" si="1"/>
        <v>2316</v>
      </c>
      <c r="I18" s="59"/>
      <c r="J18" s="504"/>
      <c r="K18" s="41"/>
      <c r="L18" s="41"/>
      <c r="M18" s="41"/>
      <c r="N18" s="41"/>
      <c r="O18" s="41">
        <v>2316</v>
      </c>
      <c r="P18" s="41"/>
      <c r="Q18" s="41"/>
      <c r="R18" s="41"/>
      <c r="S18" s="41"/>
      <c r="T18" s="42"/>
      <c r="U18" s="43"/>
      <c r="V18" s="4"/>
      <c r="W18" s="4"/>
      <c r="X18" s="4"/>
      <c r="Y18" s="3"/>
    </row>
    <row r="19" spans="1:25" ht="19.5" customHeight="1" thickBot="1">
      <c r="A19" s="82">
        <v>11</v>
      </c>
      <c r="B19" s="83" t="s">
        <v>33</v>
      </c>
      <c r="C19" s="84" t="s">
        <v>41</v>
      </c>
      <c r="D19" s="534">
        <v>13.73</v>
      </c>
      <c r="E19" s="535">
        <v>0</v>
      </c>
      <c r="F19" s="85">
        <v>13.73</v>
      </c>
      <c r="G19" s="86">
        <v>0</v>
      </c>
      <c r="H19" s="87">
        <f t="shared" si="1"/>
        <v>13.73</v>
      </c>
      <c r="I19" s="85"/>
      <c r="J19" s="506"/>
      <c r="K19" s="88"/>
      <c r="L19" s="88"/>
      <c r="M19" s="88"/>
      <c r="N19" s="88"/>
      <c r="O19" s="88">
        <v>13.73</v>
      </c>
      <c r="P19" s="88"/>
      <c r="Q19" s="88"/>
      <c r="R19" s="88"/>
      <c r="S19" s="88"/>
      <c r="T19" s="86"/>
      <c r="U19" s="89"/>
      <c r="V19" s="4"/>
      <c r="W19" s="4"/>
      <c r="X19" s="4"/>
      <c r="Y19" s="3"/>
    </row>
    <row r="20" spans="1:25" ht="20.25" customHeight="1" thickBot="1">
      <c r="A20" s="27">
        <v>12</v>
      </c>
      <c r="B20" s="32" t="s">
        <v>34</v>
      </c>
      <c r="C20" s="21" t="s">
        <v>35</v>
      </c>
      <c r="D20" s="531">
        <v>606</v>
      </c>
      <c r="E20" s="521">
        <v>0</v>
      </c>
      <c r="F20" s="59">
        <v>606</v>
      </c>
      <c r="G20" s="42">
        <v>0</v>
      </c>
      <c r="H20" s="97">
        <f t="shared" si="1"/>
        <v>606</v>
      </c>
      <c r="I20" s="59"/>
      <c r="J20" s="504"/>
      <c r="K20" s="41"/>
      <c r="L20" s="41"/>
      <c r="M20" s="41"/>
      <c r="N20" s="41">
        <v>606</v>
      </c>
      <c r="O20" s="41"/>
      <c r="P20" s="41"/>
      <c r="Q20" s="41"/>
      <c r="R20" s="41"/>
      <c r="S20" s="41"/>
      <c r="T20" s="41"/>
      <c r="U20" s="43"/>
      <c r="V20" s="4"/>
      <c r="W20" s="4"/>
      <c r="X20" s="4"/>
      <c r="Y20" s="3"/>
    </row>
    <row r="21" spans="1:25" ht="24" customHeight="1" thickBot="1">
      <c r="A21" s="91">
        <v>13</v>
      </c>
      <c r="B21" s="92" t="s">
        <v>36</v>
      </c>
      <c r="C21" s="93" t="s">
        <v>2</v>
      </c>
      <c r="D21" s="529">
        <v>276</v>
      </c>
      <c r="E21" s="530">
        <v>0</v>
      </c>
      <c r="F21" s="94">
        <v>276</v>
      </c>
      <c r="G21" s="95">
        <v>0</v>
      </c>
      <c r="H21" s="87">
        <f t="shared" si="1"/>
        <v>276</v>
      </c>
      <c r="I21" s="94"/>
      <c r="J21" s="507"/>
      <c r="K21" s="53"/>
      <c r="L21" s="53"/>
      <c r="M21" s="53"/>
      <c r="N21" s="53">
        <v>276</v>
      </c>
      <c r="O21" s="53"/>
      <c r="P21" s="53"/>
      <c r="Q21" s="53"/>
      <c r="R21" s="53"/>
      <c r="S21" s="53"/>
      <c r="T21" s="95"/>
      <c r="U21" s="96"/>
      <c r="V21" s="4"/>
      <c r="W21" s="4"/>
      <c r="X21" s="4"/>
      <c r="Y21" s="5"/>
    </row>
    <row r="22" spans="1:25" ht="20.25" customHeight="1" thickBot="1">
      <c r="A22" s="27">
        <v>14</v>
      </c>
      <c r="B22" s="32" t="s">
        <v>37</v>
      </c>
      <c r="C22" s="21" t="s">
        <v>2</v>
      </c>
      <c r="D22" s="531"/>
      <c r="E22" s="521"/>
      <c r="F22" s="59">
        <v>0</v>
      </c>
      <c r="G22" s="42">
        <v>0</v>
      </c>
      <c r="H22" s="97"/>
      <c r="I22" s="59"/>
      <c r="J22" s="504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3"/>
      <c r="V22" s="4"/>
      <c r="W22" s="4"/>
      <c r="X22" s="4"/>
      <c r="Y22" s="3"/>
    </row>
    <row r="23" spans="1:25" ht="24" customHeight="1" thickBot="1">
      <c r="A23" s="91">
        <v>15</v>
      </c>
      <c r="B23" s="92" t="s">
        <v>38</v>
      </c>
      <c r="C23" s="93" t="s">
        <v>35</v>
      </c>
      <c r="D23" s="529"/>
      <c r="E23" s="530"/>
      <c r="F23" s="94">
        <v>40124</v>
      </c>
      <c r="G23" s="95">
        <v>40124</v>
      </c>
      <c r="H23" s="87">
        <f t="shared" si="1"/>
        <v>0</v>
      </c>
      <c r="I23" s="94"/>
      <c r="J23" s="507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96"/>
      <c r="V23" s="4"/>
      <c r="W23" s="4"/>
      <c r="X23" s="4"/>
      <c r="Y23" s="3"/>
    </row>
    <row r="24" spans="1:25" ht="32.25" thickBot="1">
      <c r="A24" s="27">
        <v>16</v>
      </c>
      <c r="B24" s="32" t="s">
        <v>39</v>
      </c>
      <c r="C24" s="21" t="s">
        <v>2</v>
      </c>
      <c r="D24" s="531">
        <v>250</v>
      </c>
      <c r="E24" s="521">
        <v>0</v>
      </c>
      <c r="F24" s="40">
        <v>250</v>
      </c>
      <c r="G24" s="57">
        <v>0</v>
      </c>
      <c r="H24" s="97">
        <f t="shared" si="1"/>
        <v>250</v>
      </c>
      <c r="I24" s="59"/>
      <c r="J24" s="504"/>
      <c r="K24" s="41"/>
      <c r="L24" s="41"/>
      <c r="M24" s="41"/>
      <c r="N24" s="41">
        <v>250</v>
      </c>
      <c r="O24" s="41"/>
      <c r="P24" s="41"/>
      <c r="Q24" s="41"/>
      <c r="R24" s="41"/>
      <c r="S24" s="41"/>
      <c r="T24" s="41"/>
      <c r="U24" s="43"/>
      <c r="V24" s="4"/>
      <c r="W24" s="4"/>
      <c r="X24" s="4"/>
      <c r="Y24" s="3"/>
    </row>
    <row r="25" spans="1:25" ht="22.5" customHeight="1" thickBot="1">
      <c r="A25" s="28">
        <v>17</v>
      </c>
      <c r="B25" s="33" t="s">
        <v>40</v>
      </c>
      <c r="C25" s="22" t="s">
        <v>41</v>
      </c>
      <c r="D25" s="536">
        <v>216.8</v>
      </c>
      <c r="E25" s="523">
        <v>0</v>
      </c>
      <c r="F25" s="48">
        <v>216.8</v>
      </c>
      <c r="G25" s="45">
        <v>0</v>
      </c>
      <c r="H25" s="98">
        <f t="shared" si="1"/>
        <v>216.8</v>
      </c>
      <c r="I25" s="48"/>
      <c r="J25" s="505"/>
      <c r="K25" s="44"/>
      <c r="L25" s="44"/>
      <c r="M25" s="44"/>
      <c r="N25" s="44"/>
      <c r="O25" s="44"/>
      <c r="P25" s="44">
        <v>216.8</v>
      </c>
      <c r="Q25" s="44"/>
      <c r="R25" s="44"/>
      <c r="S25" s="44"/>
      <c r="T25" s="44"/>
      <c r="U25" s="46"/>
      <c r="V25" s="4"/>
      <c r="W25" s="4"/>
      <c r="X25" s="4"/>
      <c r="Y25" s="3"/>
    </row>
    <row r="26" spans="1:25" ht="23.25" customHeight="1" thickBot="1">
      <c r="A26" s="91">
        <v>18</v>
      </c>
      <c r="B26" s="92" t="s">
        <v>42</v>
      </c>
      <c r="C26" s="93" t="s">
        <v>41</v>
      </c>
      <c r="D26" s="529"/>
      <c r="E26" s="530"/>
      <c r="F26" s="94" t="s">
        <v>51</v>
      </c>
      <c r="G26" s="95" t="s">
        <v>51</v>
      </c>
      <c r="H26" s="87"/>
      <c r="I26" s="94"/>
      <c r="J26" s="507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96"/>
      <c r="V26" s="4"/>
      <c r="W26" s="4"/>
      <c r="X26" s="4"/>
      <c r="Y26" s="3"/>
    </row>
    <row r="27" spans="1:25" ht="21" customHeight="1" thickBot="1">
      <c r="A27" s="27">
        <v>19</v>
      </c>
      <c r="B27" s="32" t="s">
        <v>43</v>
      </c>
      <c r="C27" s="21" t="s">
        <v>19</v>
      </c>
      <c r="D27" s="531">
        <v>0.37</v>
      </c>
      <c r="E27" s="521">
        <v>0</v>
      </c>
      <c r="F27" s="40">
        <v>0.37</v>
      </c>
      <c r="G27" s="57">
        <v>0</v>
      </c>
      <c r="H27" s="97">
        <f t="shared" si="1"/>
        <v>0.37</v>
      </c>
      <c r="I27" s="59"/>
      <c r="J27" s="504"/>
      <c r="K27" s="41">
        <v>0.37</v>
      </c>
      <c r="L27" s="41"/>
      <c r="M27" s="41"/>
      <c r="N27" s="41"/>
      <c r="O27" s="41"/>
      <c r="P27" s="41"/>
      <c r="Q27" s="41"/>
      <c r="R27" s="41"/>
      <c r="S27" s="41"/>
      <c r="T27" s="41"/>
      <c r="U27" s="43"/>
      <c r="V27" s="4"/>
      <c r="W27" s="4"/>
      <c r="X27" s="4"/>
      <c r="Y27" s="3"/>
    </row>
    <row r="28" spans="1:25" ht="25.5" customHeight="1" thickBot="1">
      <c r="A28" s="91">
        <v>20</v>
      </c>
      <c r="B28" s="92" t="s">
        <v>44</v>
      </c>
      <c r="C28" s="93" t="s">
        <v>45</v>
      </c>
      <c r="D28" s="529"/>
      <c r="E28" s="530"/>
      <c r="F28" s="94" t="s">
        <v>51</v>
      </c>
      <c r="G28" s="95" t="s">
        <v>51</v>
      </c>
      <c r="H28" s="87"/>
      <c r="I28" s="94"/>
      <c r="J28" s="507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96"/>
      <c r="V28" s="4"/>
      <c r="W28" s="4"/>
      <c r="X28" s="4"/>
      <c r="Y28" s="3"/>
    </row>
    <row r="29" spans="1:25" ht="20.25" customHeight="1" thickBot="1">
      <c r="A29" s="28">
        <v>21</v>
      </c>
      <c r="B29" s="33" t="s">
        <v>46</v>
      </c>
      <c r="C29" s="22" t="s">
        <v>19</v>
      </c>
      <c r="D29" s="536"/>
      <c r="E29" s="523"/>
      <c r="F29" s="48" t="s">
        <v>51</v>
      </c>
      <c r="G29" s="45" t="s">
        <v>51</v>
      </c>
      <c r="H29" s="98"/>
      <c r="I29" s="48"/>
      <c r="J29" s="505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6"/>
      <c r="V29" s="4"/>
      <c r="W29" s="4"/>
      <c r="X29" s="4"/>
      <c r="Y29" s="3"/>
    </row>
    <row r="30" spans="1:25" ht="20.25" customHeight="1" thickBot="1">
      <c r="A30" s="30">
        <v>22</v>
      </c>
      <c r="B30" s="35" t="s">
        <v>47</v>
      </c>
      <c r="C30" s="24" t="s">
        <v>19</v>
      </c>
      <c r="D30" s="537"/>
      <c r="E30" s="538"/>
      <c r="F30" s="49" t="s">
        <v>51</v>
      </c>
      <c r="G30" s="58" t="s">
        <v>51</v>
      </c>
      <c r="H30" s="90"/>
      <c r="I30" s="49"/>
      <c r="J30" s="508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1"/>
      <c r="V30" s="4"/>
      <c r="W30" s="4"/>
      <c r="X30" s="4"/>
      <c r="Y30" s="3"/>
    </row>
    <row r="31" spans="1:24" ht="27" customHeight="1" thickBot="1">
      <c r="A31" s="28">
        <v>23</v>
      </c>
      <c r="B31" s="33" t="s">
        <v>48</v>
      </c>
      <c r="C31" s="22" t="s">
        <v>41</v>
      </c>
      <c r="D31" s="536"/>
      <c r="E31" s="523"/>
      <c r="F31" s="48" t="s">
        <v>51</v>
      </c>
      <c r="G31" s="45" t="s">
        <v>51</v>
      </c>
      <c r="H31" s="98"/>
      <c r="I31" s="48"/>
      <c r="J31" s="505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6"/>
      <c r="V31" s="4"/>
      <c r="W31" s="4"/>
      <c r="X31" s="4"/>
    </row>
    <row r="32" spans="1:24" ht="15">
      <c r="A32" s="6"/>
      <c r="B32" s="7"/>
      <c r="C32" s="8"/>
      <c r="D32" s="8"/>
      <c r="E32" s="8"/>
      <c r="F32" s="9"/>
      <c r="G32" s="10"/>
      <c r="H32" s="10"/>
      <c r="I32" s="9"/>
      <c r="J32" s="11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6" s="170" customFormat="1" ht="24.75" customHeight="1">
      <c r="A33" s="770" t="s">
        <v>59</v>
      </c>
      <c r="B33" s="770"/>
      <c r="C33" s="770"/>
      <c r="D33" s="770"/>
      <c r="E33" s="770"/>
      <c r="F33" s="770"/>
      <c r="G33" s="770"/>
      <c r="H33" s="770"/>
      <c r="I33" s="167"/>
      <c r="J33" s="167"/>
      <c r="K33" s="167"/>
      <c r="L33" s="169" t="s">
        <v>60</v>
      </c>
      <c r="N33" s="169"/>
      <c r="P33" s="169"/>
      <c r="Q33" s="169"/>
      <c r="S33" s="169"/>
      <c r="T33" s="169"/>
      <c r="U33" s="169"/>
      <c r="V33" s="169"/>
      <c r="W33" s="169"/>
      <c r="X33" s="166"/>
      <c r="Y33" s="166"/>
      <c r="Z33" s="166"/>
    </row>
    <row r="34" spans="1:26" s="170" customFormat="1" ht="24.75" customHeight="1">
      <c r="A34" s="168"/>
      <c r="B34" s="732"/>
      <c r="C34" s="732"/>
      <c r="D34" s="732"/>
      <c r="E34" s="732"/>
      <c r="F34" s="732"/>
      <c r="G34" s="732"/>
      <c r="H34" s="732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</row>
    <row r="35" spans="1:24" ht="15">
      <c r="A35" s="6"/>
      <c r="B35" s="7"/>
      <c r="C35" s="8"/>
      <c r="D35" s="8"/>
      <c r="E35" s="8"/>
      <c r="F35" s="9"/>
      <c r="G35" s="10"/>
      <c r="H35" s="10"/>
      <c r="I35" s="9"/>
      <c r="J35" s="11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</sheetData>
  <sheetProtection selectLockedCells="1" selectUnlockedCells="1"/>
  <mergeCells count="12">
    <mergeCell ref="A1:AA2"/>
    <mergeCell ref="F4:G4"/>
    <mergeCell ref="I4:U4"/>
    <mergeCell ref="A4:A5"/>
    <mergeCell ref="C4:C5"/>
    <mergeCell ref="B4:B5"/>
    <mergeCell ref="H4:H5"/>
    <mergeCell ref="I5:J5"/>
    <mergeCell ref="D4:D5"/>
    <mergeCell ref="E4:E5"/>
    <mergeCell ref="B34:H34"/>
    <mergeCell ref="A33:H33"/>
  </mergeCells>
  <printOptions horizontalCentered="1" verticalCentered="1"/>
  <pageMargins left="0.4330708661417323" right="0.15748031496062992" top="0.38" bottom="0.2755905511811024" header="0.5118110236220472" footer="0.35"/>
  <pageSetup fitToHeight="1" fitToWidth="1" horizontalDpi="300" verticalDpi="300" orientation="landscape" paperSize="9" scale="66" r:id="rId1"/>
  <colBreaks count="1" manualBreakCount="1">
    <brk id="21" max="34" man="1"/>
  </colBreaks>
  <ignoredErrors>
    <ignoredError sqref="H7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"/>
  <sheetViews>
    <sheetView view="pageBreakPreview" zoomScale="85" zoomScaleNormal="85" zoomScaleSheetLayoutView="85" zoomScalePageLayoutView="0" workbookViewId="0" topLeftCell="A1">
      <selection activeCell="E31" sqref="E31"/>
    </sheetView>
  </sheetViews>
  <sheetFormatPr defaultColWidth="9.00390625" defaultRowHeight="12.75"/>
  <cols>
    <col min="1" max="1" width="4.00390625" style="0" customWidth="1"/>
    <col min="2" max="2" width="36.125" style="0" customWidth="1"/>
    <col min="4" max="4" width="19.75390625" style="0" customWidth="1"/>
    <col min="5" max="5" width="17.375" style="0" customWidth="1"/>
    <col min="6" max="6" width="9.25390625" style="0" hidden="1" customWidth="1"/>
    <col min="7" max="7" width="12.25390625" style="0" hidden="1" customWidth="1"/>
    <col min="8" max="8" width="12.25390625" style="0" customWidth="1"/>
    <col min="17" max="17" width="8.75390625" style="0" customWidth="1"/>
    <col min="21" max="21" width="9.75390625" style="0" customWidth="1"/>
  </cols>
  <sheetData>
    <row r="1" spans="1:27" ht="13.5" customHeight="1">
      <c r="A1" s="768" t="s">
        <v>53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  <c r="X1" s="768"/>
      <c r="Y1" s="768"/>
      <c r="Z1" s="768"/>
      <c r="AA1" s="768"/>
    </row>
    <row r="2" spans="1:27" ht="33" customHeight="1">
      <c r="A2" s="768"/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8"/>
      <c r="X2" s="768"/>
      <c r="Y2" s="768"/>
      <c r="Z2" s="768"/>
      <c r="AA2" s="768"/>
    </row>
    <row r="3" spans="18:21" ht="14.25" customHeight="1" thickBot="1">
      <c r="R3" s="579" t="s">
        <v>81</v>
      </c>
      <c r="T3" s="520" t="s">
        <v>85</v>
      </c>
      <c r="U3" s="580"/>
    </row>
    <row r="4" spans="1:24" ht="31.5" customHeight="1" thickBot="1">
      <c r="A4" s="777" t="s">
        <v>6</v>
      </c>
      <c r="B4" s="766" t="s">
        <v>7</v>
      </c>
      <c r="C4" s="779" t="s">
        <v>8</v>
      </c>
      <c r="D4" s="764" t="s">
        <v>83</v>
      </c>
      <c r="E4" s="766" t="s">
        <v>84</v>
      </c>
      <c r="F4" s="771" t="s">
        <v>50</v>
      </c>
      <c r="G4" s="772"/>
      <c r="H4" s="730" t="s">
        <v>82</v>
      </c>
      <c r="I4" s="773" t="s">
        <v>9</v>
      </c>
      <c r="J4" s="774"/>
      <c r="K4" s="774"/>
      <c r="L4" s="774"/>
      <c r="M4" s="774"/>
      <c r="N4" s="774"/>
      <c r="O4" s="774"/>
      <c r="P4" s="774"/>
      <c r="Q4" s="774"/>
      <c r="R4" s="774"/>
      <c r="S4" s="774"/>
      <c r="T4" s="775"/>
      <c r="U4" s="776"/>
      <c r="V4" s="1"/>
      <c r="W4" s="1"/>
      <c r="X4" s="1"/>
    </row>
    <row r="5" spans="1:25" ht="23.25" customHeight="1" thickBot="1">
      <c r="A5" s="778"/>
      <c r="B5" s="767"/>
      <c r="C5" s="780"/>
      <c r="D5" s="765"/>
      <c r="E5" s="767"/>
      <c r="F5" s="16" t="s">
        <v>49</v>
      </c>
      <c r="G5" s="54" t="s">
        <v>10</v>
      </c>
      <c r="H5" s="731"/>
      <c r="I5" s="757" t="s">
        <v>4</v>
      </c>
      <c r="J5" s="769"/>
      <c r="K5" s="121" t="s">
        <v>3</v>
      </c>
      <c r="L5" s="121" t="s">
        <v>0</v>
      </c>
      <c r="M5" s="121" t="s">
        <v>1</v>
      </c>
      <c r="N5" s="121" t="s">
        <v>5</v>
      </c>
      <c r="O5" s="121" t="s">
        <v>11</v>
      </c>
      <c r="P5" s="121" t="s">
        <v>12</v>
      </c>
      <c r="Q5" s="121" t="s">
        <v>13</v>
      </c>
      <c r="R5" s="121" t="s">
        <v>14</v>
      </c>
      <c r="S5" s="121" t="s">
        <v>15</v>
      </c>
      <c r="T5" s="121" t="s">
        <v>16</v>
      </c>
      <c r="U5" s="122" t="s">
        <v>17</v>
      </c>
      <c r="V5" s="2"/>
      <c r="W5" s="2"/>
      <c r="X5" s="2"/>
      <c r="Y5" s="3"/>
    </row>
    <row r="6" spans="1:25" ht="16.5" thickBot="1">
      <c r="A6" s="25"/>
      <c r="B6" s="19"/>
      <c r="C6" s="19"/>
      <c r="D6" s="524"/>
      <c r="E6" s="19"/>
      <c r="F6" s="18"/>
      <c r="G6" s="55"/>
      <c r="H6" s="22"/>
      <c r="I6" s="415" t="s">
        <v>49</v>
      </c>
      <c r="J6" s="474" t="s">
        <v>10</v>
      </c>
      <c r="K6" s="13"/>
      <c r="L6" s="14"/>
      <c r="M6" s="13"/>
      <c r="N6" s="14"/>
      <c r="O6" s="13"/>
      <c r="P6" s="14"/>
      <c r="Q6" s="13"/>
      <c r="R6" s="14"/>
      <c r="S6" s="13"/>
      <c r="T6" s="17"/>
      <c r="U6" s="15"/>
      <c r="V6" s="2"/>
      <c r="W6" s="2"/>
      <c r="X6" s="2"/>
      <c r="Y6" s="3"/>
    </row>
    <row r="7" spans="1:25" ht="21.75" customHeight="1">
      <c r="A7" s="67">
        <v>1</v>
      </c>
      <c r="B7" s="68" t="s">
        <v>18</v>
      </c>
      <c r="C7" s="69" t="s">
        <v>19</v>
      </c>
      <c r="D7" s="525">
        <f>D8+D9</f>
        <v>765.4200000000001</v>
      </c>
      <c r="E7" s="525">
        <f>E8+E9</f>
        <v>318.812</v>
      </c>
      <c r="F7" s="111">
        <f>F8+F9</f>
        <v>579.942</v>
      </c>
      <c r="G7" s="71">
        <f>G8+G9</f>
        <v>133.33</v>
      </c>
      <c r="H7" s="113">
        <f>F7-G7</f>
        <v>446.61199999999997</v>
      </c>
      <c r="I7" s="117">
        <f>I8+I9</f>
        <v>95.6</v>
      </c>
      <c r="J7" s="509">
        <v>122.04</v>
      </c>
      <c r="K7" s="117">
        <f>K8+K9</f>
        <v>47.85574444444444</v>
      </c>
      <c r="L7" s="117">
        <f aca="true" t="shared" si="0" ref="L7:R7">L8+L9</f>
        <v>47.85574444444444</v>
      </c>
      <c r="M7" s="117">
        <f t="shared" si="0"/>
        <v>47.85574444444444</v>
      </c>
      <c r="N7" s="117">
        <f t="shared" si="0"/>
        <v>47.85574444444444</v>
      </c>
      <c r="O7" s="117">
        <f t="shared" si="0"/>
        <v>47.85574444444444</v>
      </c>
      <c r="P7" s="117">
        <f t="shared" si="0"/>
        <v>47.85574444444444</v>
      </c>
      <c r="Q7" s="117">
        <f t="shared" si="0"/>
        <v>47.85574444444444</v>
      </c>
      <c r="R7" s="117">
        <f t="shared" si="0"/>
        <v>15.910300000000001</v>
      </c>
      <c r="S7" s="73"/>
      <c r="T7" s="74"/>
      <c r="U7" s="75"/>
      <c r="V7" s="4"/>
      <c r="W7" s="4"/>
      <c r="X7" s="4"/>
      <c r="Y7" s="3"/>
    </row>
    <row r="8" spans="1:25" ht="21" customHeight="1">
      <c r="A8" s="76"/>
      <c r="B8" s="77" t="s">
        <v>20</v>
      </c>
      <c r="C8" s="69" t="s">
        <v>19</v>
      </c>
      <c r="D8" s="527">
        <v>292.307</v>
      </c>
      <c r="E8" s="571">
        <v>118</v>
      </c>
      <c r="F8" s="112">
        <v>218.203</v>
      </c>
      <c r="G8" s="79">
        <v>59.1</v>
      </c>
      <c r="H8" s="116">
        <f>F8-G8</f>
        <v>159.103</v>
      </c>
      <c r="I8" s="115">
        <v>31.8</v>
      </c>
      <c r="J8" s="510">
        <v>62.65</v>
      </c>
      <c r="K8" s="115">
        <f>$H$8/10</f>
        <v>15.910300000000001</v>
      </c>
      <c r="L8" s="115">
        <f aca="true" t="shared" si="1" ref="L8:R8">$H$8/10</f>
        <v>15.910300000000001</v>
      </c>
      <c r="M8" s="115">
        <f t="shared" si="1"/>
        <v>15.910300000000001</v>
      </c>
      <c r="N8" s="115">
        <f t="shared" si="1"/>
        <v>15.910300000000001</v>
      </c>
      <c r="O8" s="115">
        <f t="shared" si="1"/>
        <v>15.910300000000001</v>
      </c>
      <c r="P8" s="115">
        <f t="shared" si="1"/>
        <v>15.910300000000001</v>
      </c>
      <c r="Q8" s="115">
        <f t="shared" si="1"/>
        <v>15.910300000000001</v>
      </c>
      <c r="R8" s="115">
        <f t="shared" si="1"/>
        <v>15.910300000000001</v>
      </c>
      <c r="S8" s="80"/>
      <c r="T8" s="79"/>
      <c r="U8" s="81"/>
      <c r="V8" s="4"/>
      <c r="W8" s="4"/>
      <c r="X8" s="4"/>
      <c r="Y8" s="3"/>
    </row>
    <row r="9" spans="1:25" ht="24" customHeight="1" thickBot="1">
      <c r="A9" s="26"/>
      <c r="B9" s="31" t="s">
        <v>21</v>
      </c>
      <c r="C9" s="20" t="s">
        <v>19</v>
      </c>
      <c r="D9" s="529">
        <v>473.113</v>
      </c>
      <c r="E9" s="530">
        <v>200.812</v>
      </c>
      <c r="F9" s="62">
        <v>361.739</v>
      </c>
      <c r="G9" s="56">
        <v>74.23</v>
      </c>
      <c r="H9" s="63">
        <f aca="true" t="shared" si="2" ref="H9:H27">F9-G9</f>
        <v>287.50899999999996</v>
      </c>
      <c r="I9" s="115">
        <v>63.8</v>
      </c>
      <c r="J9" s="510">
        <v>59.39</v>
      </c>
      <c r="K9" s="115">
        <f aca="true" t="shared" si="3" ref="K9:Q9">$H$9/9</f>
        <v>31.94544444444444</v>
      </c>
      <c r="L9" s="115">
        <f t="shared" si="3"/>
        <v>31.94544444444444</v>
      </c>
      <c r="M9" s="115">
        <f t="shared" si="3"/>
        <v>31.94544444444444</v>
      </c>
      <c r="N9" s="115">
        <f t="shared" si="3"/>
        <v>31.94544444444444</v>
      </c>
      <c r="O9" s="115">
        <f t="shared" si="3"/>
        <v>31.94544444444444</v>
      </c>
      <c r="P9" s="115">
        <f t="shared" si="3"/>
        <v>31.94544444444444</v>
      </c>
      <c r="Q9" s="115">
        <f t="shared" si="3"/>
        <v>31.94544444444444</v>
      </c>
      <c r="R9" s="115"/>
      <c r="S9" s="37"/>
      <c r="T9" s="38"/>
      <c r="U9" s="39"/>
      <c r="V9" s="4"/>
      <c r="W9" s="4"/>
      <c r="X9" s="4"/>
      <c r="Y9" s="3"/>
    </row>
    <row r="10" spans="1:25" ht="24" customHeight="1" thickBot="1">
      <c r="A10" s="27">
        <v>2</v>
      </c>
      <c r="B10" s="32" t="s">
        <v>22</v>
      </c>
      <c r="C10" s="21" t="s">
        <v>19</v>
      </c>
      <c r="D10" s="531">
        <v>150</v>
      </c>
      <c r="E10" s="541">
        <v>0</v>
      </c>
      <c r="F10" s="65">
        <v>151.086</v>
      </c>
      <c r="G10" s="57">
        <v>8.8</v>
      </c>
      <c r="H10" s="64">
        <f>F10-G10</f>
        <v>142.286</v>
      </c>
      <c r="I10" s="118">
        <v>28.46</v>
      </c>
      <c r="J10" s="511">
        <v>0</v>
      </c>
      <c r="K10" s="118">
        <f aca="true" t="shared" si="4" ref="K10:R10">$H$10/10</f>
        <v>14.2286</v>
      </c>
      <c r="L10" s="118">
        <f t="shared" si="4"/>
        <v>14.2286</v>
      </c>
      <c r="M10" s="118">
        <f t="shared" si="4"/>
        <v>14.2286</v>
      </c>
      <c r="N10" s="118">
        <f t="shared" si="4"/>
        <v>14.2286</v>
      </c>
      <c r="O10" s="118">
        <f t="shared" si="4"/>
        <v>14.2286</v>
      </c>
      <c r="P10" s="118">
        <f t="shared" si="4"/>
        <v>14.2286</v>
      </c>
      <c r="Q10" s="118">
        <f t="shared" si="4"/>
        <v>14.2286</v>
      </c>
      <c r="R10" s="118">
        <f t="shared" si="4"/>
        <v>14.2286</v>
      </c>
      <c r="S10" s="41"/>
      <c r="T10" s="42"/>
      <c r="U10" s="43"/>
      <c r="V10" s="4"/>
      <c r="W10" s="4"/>
      <c r="X10" s="4"/>
      <c r="Y10" s="3"/>
    </row>
    <row r="11" spans="1:25" ht="22.5" customHeight="1" thickBot="1">
      <c r="A11" s="28">
        <v>3</v>
      </c>
      <c r="B11" s="33" t="s">
        <v>23</v>
      </c>
      <c r="C11" s="22" t="s">
        <v>19</v>
      </c>
      <c r="D11" s="575"/>
      <c r="E11" s="576"/>
      <c r="F11" s="36">
        <v>0</v>
      </c>
      <c r="G11" s="56">
        <v>0</v>
      </c>
      <c r="H11" s="61">
        <f t="shared" si="2"/>
        <v>0</v>
      </c>
      <c r="I11" s="48"/>
      <c r="J11" s="44">
        <v>0</v>
      </c>
      <c r="K11" s="44"/>
      <c r="L11" s="44"/>
      <c r="M11" s="44"/>
      <c r="N11" s="44"/>
      <c r="O11" s="44"/>
      <c r="P11" s="44"/>
      <c r="Q11" s="44"/>
      <c r="R11" s="44"/>
      <c r="S11" s="44"/>
      <c r="T11" s="45"/>
      <c r="U11" s="46"/>
      <c r="V11" s="4"/>
      <c r="W11" s="4"/>
      <c r="X11" s="4"/>
      <c r="Y11" s="3"/>
    </row>
    <row r="12" spans="1:25" ht="22.5" customHeight="1" thickBot="1">
      <c r="A12" s="27">
        <v>4</v>
      </c>
      <c r="B12" s="32" t="s">
        <v>24</v>
      </c>
      <c r="C12" s="21" t="s">
        <v>19</v>
      </c>
      <c r="D12" s="577">
        <v>302</v>
      </c>
      <c r="E12" s="521">
        <v>224.6</v>
      </c>
      <c r="F12" s="110">
        <v>47.359</v>
      </c>
      <c r="G12" s="57">
        <v>0</v>
      </c>
      <c r="H12" s="64">
        <f t="shared" si="2"/>
        <v>47.359</v>
      </c>
      <c r="I12" s="118">
        <v>11.84</v>
      </c>
      <c r="J12" s="511">
        <v>35.22</v>
      </c>
      <c r="K12" s="118">
        <f aca="true" t="shared" si="5" ref="K12:P12">$H$12/8</f>
        <v>5.919875</v>
      </c>
      <c r="L12" s="118">
        <f t="shared" si="5"/>
        <v>5.919875</v>
      </c>
      <c r="M12" s="118">
        <f t="shared" si="5"/>
        <v>5.919875</v>
      </c>
      <c r="N12" s="118">
        <f t="shared" si="5"/>
        <v>5.919875</v>
      </c>
      <c r="O12" s="118">
        <f t="shared" si="5"/>
        <v>5.919875</v>
      </c>
      <c r="P12" s="118">
        <f t="shared" si="5"/>
        <v>5.919875</v>
      </c>
      <c r="Q12" s="41"/>
      <c r="R12" s="41"/>
      <c r="S12" s="41"/>
      <c r="T12" s="42"/>
      <c r="U12" s="43"/>
      <c r="V12" s="4"/>
      <c r="W12" s="4"/>
      <c r="X12" s="4"/>
      <c r="Y12" s="3"/>
    </row>
    <row r="13" spans="1:25" ht="20.25" customHeight="1" thickBot="1">
      <c r="A13" s="29">
        <v>5</v>
      </c>
      <c r="B13" s="34" t="s">
        <v>25</v>
      </c>
      <c r="C13" s="23" t="s">
        <v>19</v>
      </c>
      <c r="D13" s="532">
        <v>9.3</v>
      </c>
      <c r="E13" s="578">
        <v>0</v>
      </c>
      <c r="F13" s="114">
        <v>9.284</v>
      </c>
      <c r="G13" s="56">
        <v>0</v>
      </c>
      <c r="H13" s="101">
        <f t="shared" si="2"/>
        <v>9.284</v>
      </c>
      <c r="I13" s="48">
        <v>1.03</v>
      </c>
      <c r="J13" s="512"/>
      <c r="K13" s="119">
        <f aca="true" t="shared" si="6" ref="K13:R13">$H$13/9</f>
        <v>1.0315555555555556</v>
      </c>
      <c r="L13" s="119">
        <f t="shared" si="6"/>
        <v>1.0315555555555556</v>
      </c>
      <c r="M13" s="119">
        <f t="shared" si="6"/>
        <v>1.0315555555555556</v>
      </c>
      <c r="N13" s="119">
        <f t="shared" si="6"/>
        <v>1.0315555555555556</v>
      </c>
      <c r="O13" s="119">
        <f t="shared" si="6"/>
        <v>1.0315555555555556</v>
      </c>
      <c r="P13" s="119">
        <f t="shared" si="6"/>
        <v>1.0315555555555556</v>
      </c>
      <c r="Q13" s="119">
        <f t="shared" si="6"/>
        <v>1.0315555555555556</v>
      </c>
      <c r="R13" s="119">
        <f t="shared" si="6"/>
        <v>1.0315555555555556</v>
      </c>
      <c r="S13" s="44"/>
      <c r="T13" s="45"/>
      <c r="U13" s="46"/>
      <c r="V13" s="4"/>
      <c r="W13" s="4"/>
      <c r="X13" s="4"/>
      <c r="Y13" s="3"/>
    </row>
    <row r="14" spans="1:25" ht="19.5" customHeight="1" thickBot="1">
      <c r="A14" s="27">
        <v>6</v>
      </c>
      <c r="B14" s="32" t="s">
        <v>26</v>
      </c>
      <c r="C14" s="21" t="s">
        <v>19</v>
      </c>
      <c r="D14" s="531">
        <v>27</v>
      </c>
      <c r="E14" s="521">
        <v>9.5</v>
      </c>
      <c r="F14" s="65">
        <v>17.992</v>
      </c>
      <c r="G14" s="66">
        <v>0.862</v>
      </c>
      <c r="H14" s="60">
        <f t="shared" si="2"/>
        <v>17.130000000000003</v>
      </c>
      <c r="I14" s="118">
        <v>2.86</v>
      </c>
      <c r="J14" s="511"/>
      <c r="K14" s="118"/>
      <c r="L14" s="118">
        <f>$H$14/6</f>
        <v>2.8550000000000004</v>
      </c>
      <c r="M14" s="118">
        <f>$H$14/6</f>
        <v>2.8550000000000004</v>
      </c>
      <c r="N14" s="118">
        <f>$H$14/6</f>
        <v>2.8550000000000004</v>
      </c>
      <c r="O14" s="118">
        <f>$H$14/6</f>
        <v>2.8550000000000004</v>
      </c>
      <c r="P14" s="118">
        <f>$H$14/6</f>
        <v>2.8550000000000004</v>
      </c>
      <c r="Q14" s="41"/>
      <c r="R14" s="41"/>
      <c r="S14" s="41"/>
      <c r="T14" s="42"/>
      <c r="U14" s="43"/>
      <c r="V14" s="4"/>
      <c r="W14" s="4"/>
      <c r="X14" s="4"/>
      <c r="Y14" s="3"/>
    </row>
    <row r="15" spans="1:25" ht="22.5" customHeight="1" thickBot="1">
      <c r="A15" s="29">
        <v>7</v>
      </c>
      <c r="B15" s="34" t="s">
        <v>27</v>
      </c>
      <c r="C15" s="23" t="s">
        <v>19</v>
      </c>
      <c r="D15" s="532">
        <v>0.9</v>
      </c>
      <c r="E15" s="533">
        <v>0.53</v>
      </c>
      <c r="F15" s="36">
        <v>0.35</v>
      </c>
      <c r="G15" s="56">
        <v>0</v>
      </c>
      <c r="H15" s="61">
        <f t="shared" si="2"/>
        <v>0.35</v>
      </c>
      <c r="I15" s="48">
        <v>0.12</v>
      </c>
      <c r="J15" s="512"/>
      <c r="K15" s="119">
        <f>$H$15/3</f>
        <v>0.11666666666666665</v>
      </c>
      <c r="L15" s="119">
        <f>$H$15/3</f>
        <v>0.11666666666666665</v>
      </c>
      <c r="M15" s="44"/>
      <c r="N15" s="44"/>
      <c r="O15" s="44"/>
      <c r="P15" s="44"/>
      <c r="Q15" s="44"/>
      <c r="R15" s="44"/>
      <c r="S15" s="44"/>
      <c r="T15" s="45"/>
      <c r="U15" s="46"/>
      <c r="V15" s="4"/>
      <c r="W15" s="4"/>
      <c r="X15" s="4"/>
      <c r="Y15" s="3"/>
    </row>
    <row r="16" spans="1:25" ht="20.25" customHeight="1" thickBot="1">
      <c r="A16" s="27">
        <v>8</v>
      </c>
      <c r="B16" s="32" t="s">
        <v>28</v>
      </c>
      <c r="C16" s="21" t="s">
        <v>29</v>
      </c>
      <c r="D16" s="531">
        <v>2.9</v>
      </c>
      <c r="E16" s="521">
        <v>2.39</v>
      </c>
      <c r="F16" s="65">
        <f>0.98485+0.525</f>
        <v>1.5098500000000001</v>
      </c>
      <c r="G16" s="66">
        <f>0.13+0.0696+0.525</f>
        <v>0.7246</v>
      </c>
      <c r="H16" s="64">
        <f t="shared" si="2"/>
        <v>0.7852500000000001</v>
      </c>
      <c r="I16" s="59">
        <v>0.16</v>
      </c>
      <c r="J16" s="513"/>
      <c r="K16" s="104">
        <f>$H$16/5</f>
        <v>0.15705000000000002</v>
      </c>
      <c r="L16" s="104">
        <f>$H$16/5</f>
        <v>0.15705000000000002</v>
      </c>
      <c r="M16" s="104">
        <f>$H$16/5</f>
        <v>0.15705000000000002</v>
      </c>
      <c r="N16" s="104">
        <f>$H$16/5</f>
        <v>0.15705000000000002</v>
      </c>
      <c r="O16" s="41"/>
      <c r="P16" s="41"/>
      <c r="Q16" s="41"/>
      <c r="R16" s="41"/>
      <c r="S16" s="41"/>
      <c r="T16" s="42"/>
      <c r="U16" s="43"/>
      <c r="V16" s="4"/>
      <c r="W16" s="4"/>
      <c r="X16" s="4"/>
      <c r="Y16" s="3"/>
    </row>
    <row r="17" spans="1:25" ht="21.75" customHeight="1" thickBot="1">
      <c r="A17" s="29">
        <v>9</v>
      </c>
      <c r="B17" s="34" t="s">
        <v>30</v>
      </c>
      <c r="C17" s="23" t="s">
        <v>31</v>
      </c>
      <c r="D17" s="532">
        <v>1008</v>
      </c>
      <c r="E17" s="533">
        <v>299.53</v>
      </c>
      <c r="F17" s="62">
        <f>1008000/1000-299525.23/1000</f>
        <v>708.47477</v>
      </c>
      <c r="G17" s="56">
        <v>0</v>
      </c>
      <c r="H17" s="63">
        <f t="shared" si="2"/>
        <v>708.47477</v>
      </c>
      <c r="I17" s="48"/>
      <c r="J17" s="505"/>
      <c r="K17" s="119">
        <f aca="true" t="shared" si="7" ref="K17:P17">$H$17/6</f>
        <v>118.07912833333334</v>
      </c>
      <c r="L17" s="119">
        <f t="shared" si="7"/>
        <v>118.07912833333334</v>
      </c>
      <c r="M17" s="119">
        <f t="shared" si="7"/>
        <v>118.07912833333334</v>
      </c>
      <c r="N17" s="119">
        <f t="shared" si="7"/>
        <v>118.07912833333334</v>
      </c>
      <c r="O17" s="119">
        <f t="shared" si="7"/>
        <v>118.07912833333334</v>
      </c>
      <c r="P17" s="119">
        <f t="shared" si="7"/>
        <v>118.07912833333334</v>
      </c>
      <c r="Q17" s="44"/>
      <c r="R17" s="44"/>
      <c r="S17" s="44"/>
      <c r="T17" s="45"/>
      <c r="U17" s="46"/>
      <c r="V17" s="4"/>
      <c r="W17" s="4"/>
      <c r="X17" s="4"/>
      <c r="Y17" s="3"/>
    </row>
    <row r="18" spans="1:25" ht="21" customHeight="1" thickBot="1">
      <c r="A18" s="27">
        <v>10</v>
      </c>
      <c r="B18" s="32" t="s">
        <v>32</v>
      </c>
      <c r="C18" s="21" t="s">
        <v>2</v>
      </c>
      <c r="D18" s="531">
        <v>2350</v>
      </c>
      <c r="E18" s="521">
        <v>0</v>
      </c>
      <c r="F18" s="40">
        <v>2350</v>
      </c>
      <c r="G18" s="57">
        <v>0</v>
      </c>
      <c r="H18" s="60">
        <f t="shared" si="2"/>
        <v>2350</v>
      </c>
      <c r="I18" s="59"/>
      <c r="J18" s="504"/>
      <c r="K18" s="41"/>
      <c r="L18" s="41"/>
      <c r="M18" s="41"/>
      <c r="N18" s="41"/>
      <c r="O18" s="41"/>
      <c r="P18" s="41">
        <v>2350</v>
      </c>
      <c r="Q18" s="41"/>
      <c r="R18" s="41"/>
      <c r="S18" s="41"/>
      <c r="T18" s="42"/>
      <c r="U18" s="43"/>
      <c r="V18" s="4"/>
      <c r="W18" s="4"/>
      <c r="X18" s="4"/>
      <c r="Y18" s="3"/>
    </row>
    <row r="19" spans="1:25" ht="19.5" customHeight="1" thickBot="1">
      <c r="A19" s="82">
        <v>11</v>
      </c>
      <c r="B19" s="83" t="s">
        <v>33</v>
      </c>
      <c r="C19" s="84" t="s">
        <v>41</v>
      </c>
      <c r="D19" s="534">
        <v>13.011</v>
      </c>
      <c r="E19" s="535">
        <v>0</v>
      </c>
      <c r="F19" s="85">
        <v>13.011</v>
      </c>
      <c r="G19" s="86">
        <v>0</v>
      </c>
      <c r="H19" s="87">
        <f t="shared" si="2"/>
        <v>13.011</v>
      </c>
      <c r="I19" s="85"/>
      <c r="J19" s="506"/>
      <c r="K19" s="88"/>
      <c r="L19" s="88"/>
      <c r="M19" s="88"/>
      <c r="N19" s="88"/>
      <c r="O19" s="88"/>
      <c r="P19" s="88"/>
      <c r="Q19" s="88">
        <v>13.011</v>
      </c>
      <c r="R19" s="88"/>
      <c r="S19" s="88"/>
      <c r="T19" s="86"/>
      <c r="U19" s="89"/>
      <c r="V19" s="4"/>
      <c r="W19" s="4"/>
      <c r="X19" s="4"/>
      <c r="Y19" s="3"/>
    </row>
    <row r="20" spans="1:25" ht="20.25" customHeight="1" thickBot="1">
      <c r="A20" s="27">
        <v>12</v>
      </c>
      <c r="B20" s="32" t="s">
        <v>34</v>
      </c>
      <c r="C20" s="21" t="s">
        <v>35</v>
      </c>
      <c r="D20" s="531">
        <v>756</v>
      </c>
      <c r="E20" s="521">
        <v>0</v>
      </c>
      <c r="F20" s="59">
        <v>756</v>
      </c>
      <c r="G20" s="42">
        <v>0</v>
      </c>
      <c r="H20" s="97">
        <f t="shared" si="2"/>
        <v>756</v>
      </c>
      <c r="I20" s="59"/>
      <c r="J20" s="504"/>
      <c r="K20" s="41"/>
      <c r="L20" s="41"/>
      <c r="M20" s="41"/>
      <c r="N20" s="41"/>
      <c r="O20" s="41">
        <v>756</v>
      </c>
      <c r="P20" s="41"/>
      <c r="Q20" s="41"/>
      <c r="R20" s="41"/>
      <c r="S20" s="41"/>
      <c r="T20" s="41"/>
      <c r="U20" s="43"/>
      <c r="V20" s="4"/>
      <c r="W20" s="4"/>
      <c r="X20" s="4"/>
      <c r="Y20" s="3"/>
    </row>
    <row r="21" spans="1:25" ht="24" customHeight="1" thickBot="1">
      <c r="A21" s="91">
        <v>13</v>
      </c>
      <c r="B21" s="92" t="s">
        <v>36</v>
      </c>
      <c r="C21" s="93" t="s">
        <v>2</v>
      </c>
      <c r="D21" s="529">
        <v>318</v>
      </c>
      <c r="E21" s="530">
        <v>0</v>
      </c>
      <c r="F21" s="94">
        <v>318</v>
      </c>
      <c r="G21" s="95">
        <v>0</v>
      </c>
      <c r="H21" s="87">
        <f t="shared" si="2"/>
        <v>318</v>
      </c>
      <c r="I21" s="94"/>
      <c r="J21" s="507"/>
      <c r="K21" s="53"/>
      <c r="L21" s="53"/>
      <c r="M21" s="53"/>
      <c r="N21" s="53"/>
      <c r="O21" s="53"/>
      <c r="P21" s="53">
        <v>318</v>
      </c>
      <c r="Q21" s="53"/>
      <c r="R21" s="53"/>
      <c r="S21" s="53"/>
      <c r="T21" s="95"/>
      <c r="U21" s="96"/>
      <c r="V21" s="4"/>
      <c r="W21" s="4"/>
      <c r="X21" s="4"/>
      <c r="Y21" s="5"/>
    </row>
    <row r="22" spans="1:25" ht="20.25" customHeight="1" thickBot="1">
      <c r="A22" s="27">
        <v>14</v>
      </c>
      <c r="B22" s="32" t="s">
        <v>37</v>
      </c>
      <c r="C22" s="21" t="s">
        <v>2</v>
      </c>
      <c r="D22" s="531">
        <v>56</v>
      </c>
      <c r="E22" s="521">
        <v>0</v>
      </c>
      <c r="F22" s="59">
        <v>56</v>
      </c>
      <c r="G22" s="42">
        <v>0</v>
      </c>
      <c r="H22" s="97">
        <f t="shared" si="2"/>
        <v>56</v>
      </c>
      <c r="I22" s="59"/>
      <c r="J22" s="504"/>
      <c r="K22" s="41"/>
      <c r="L22" s="41"/>
      <c r="M22" s="41">
        <v>56</v>
      </c>
      <c r="N22" s="41"/>
      <c r="O22" s="41"/>
      <c r="P22" s="41"/>
      <c r="Q22" s="41"/>
      <c r="R22" s="41"/>
      <c r="S22" s="41"/>
      <c r="T22" s="41"/>
      <c r="U22" s="43"/>
      <c r="V22" s="4"/>
      <c r="W22" s="4"/>
      <c r="X22" s="4"/>
      <c r="Y22" s="3"/>
    </row>
    <row r="23" spans="1:25" ht="24" customHeight="1" thickBot="1">
      <c r="A23" s="91">
        <v>15</v>
      </c>
      <c r="B23" s="92" t="s">
        <v>38</v>
      </c>
      <c r="C23" s="93" t="s">
        <v>35</v>
      </c>
      <c r="D23" s="529">
        <v>27919</v>
      </c>
      <c r="E23" s="530">
        <v>0</v>
      </c>
      <c r="F23" s="94">
        <v>35685</v>
      </c>
      <c r="G23" s="95">
        <v>7766</v>
      </c>
      <c r="H23" s="87">
        <f t="shared" si="2"/>
        <v>27919</v>
      </c>
      <c r="I23" s="94"/>
      <c r="J23" s="507"/>
      <c r="K23" s="53"/>
      <c r="L23" s="53"/>
      <c r="M23" s="132">
        <f>$H$23/3</f>
        <v>9306.333333333334</v>
      </c>
      <c r="N23" s="132">
        <f>$H$23/3</f>
        <v>9306.333333333334</v>
      </c>
      <c r="O23" s="132">
        <f>$H$23/3</f>
        <v>9306.333333333334</v>
      </c>
      <c r="P23" s="53"/>
      <c r="Q23" s="53"/>
      <c r="R23" s="53"/>
      <c r="S23" s="53"/>
      <c r="T23" s="53"/>
      <c r="U23" s="96"/>
      <c r="V23" s="4"/>
      <c r="W23" s="4"/>
      <c r="X23" s="4"/>
      <c r="Y23" s="3"/>
    </row>
    <row r="24" spans="1:25" ht="32.25" thickBot="1">
      <c r="A24" s="27">
        <v>16</v>
      </c>
      <c r="B24" s="32" t="s">
        <v>39</v>
      </c>
      <c r="C24" s="21" t="s">
        <v>2</v>
      </c>
      <c r="D24" s="531">
        <v>290</v>
      </c>
      <c r="E24" s="521">
        <v>0</v>
      </c>
      <c r="F24" s="40">
        <v>290</v>
      </c>
      <c r="G24" s="57">
        <v>0</v>
      </c>
      <c r="H24" s="97">
        <f t="shared" si="2"/>
        <v>290</v>
      </c>
      <c r="I24" s="59"/>
      <c r="J24" s="504"/>
      <c r="K24" s="41"/>
      <c r="L24" s="41"/>
      <c r="M24" s="41"/>
      <c r="N24" s="41"/>
      <c r="O24" s="41"/>
      <c r="P24" s="41">
        <v>290</v>
      </c>
      <c r="Q24" s="41"/>
      <c r="R24" s="41"/>
      <c r="S24" s="41"/>
      <c r="T24" s="41"/>
      <c r="U24" s="43"/>
      <c r="V24" s="4"/>
      <c r="W24" s="4"/>
      <c r="X24" s="4"/>
      <c r="Y24" s="3"/>
    </row>
    <row r="25" spans="1:25" ht="22.5" customHeight="1" thickBot="1">
      <c r="A25" s="28">
        <v>17</v>
      </c>
      <c r="B25" s="33" t="s">
        <v>40</v>
      </c>
      <c r="C25" s="22" t="s">
        <v>41</v>
      </c>
      <c r="D25" s="536">
        <v>205.3</v>
      </c>
      <c r="E25" s="523">
        <v>0</v>
      </c>
      <c r="F25" s="48">
        <v>205.3</v>
      </c>
      <c r="G25" s="45">
        <v>0</v>
      </c>
      <c r="H25" s="98">
        <f t="shared" si="2"/>
        <v>205.3</v>
      </c>
      <c r="I25" s="48"/>
      <c r="J25" s="505"/>
      <c r="K25" s="44"/>
      <c r="L25" s="44"/>
      <c r="M25" s="44"/>
      <c r="N25" s="44"/>
      <c r="O25" s="44">
        <v>205.3</v>
      </c>
      <c r="P25" s="44"/>
      <c r="Q25" s="44"/>
      <c r="R25" s="44"/>
      <c r="S25" s="44"/>
      <c r="T25" s="44"/>
      <c r="U25" s="46"/>
      <c r="V25" s="4"/>
      <c r="W25" s="4"/>
      <c r="X25" s="4"/>
      <c r="Y25" s="3"/>
    </row>
    <row r="26" spans="1:25" ht="23.25" customHeight="1" thickBot="1">
      <c r="A26" s="91">
        <v>18</v>
      </c>
      <c r="B26" s="92" t="s">
        <v>42</v>
      </c>
      <c r="C26" s="93" t="s">
        <v>41</v>
      </c>
      <c r="D26" s="529"/>
      <c r="E26" s="530"/>
      <c r="F26" s="94" t="s">
        <v>51</v>
      </c>
      <c r="G26" s="95" t="s">
        <v>51</v>
      </c>
      <c r="H26" s="87"/>
      <c r="I26" s="94"/>
      <c r="J26" s="507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96"/>
      <c r="V26" s="4"/>
      <c r="W26" s="4"/>
      <c r="X26" s="4"/>
      <c r="Y26" s="3"/>
    </row>
    <row r="27" spans="1:25" ht="21" customHeight="1" thickBot="1">
      <c r="A27" s="27">
        <v>19</v>
      </c>
      <c r="B27" s="32" t="s">
        <v>43</v>
      </c>
      <c r="C27" s="21" t="s">
        <v>19</v>
      </c>
      <c r="D27" s="531">
        <v>0.371</v>
      </c>
      <c r="E27" s="521">
        <v>0</v>
      </c>
      <c r="F27" s="40">
        <v>0.371</v>
      </c>
      <c r="G27" s="57">
        <v>0</v>
      </c>
      <c r="H27" s="97">
        <f t="shared" si="2"/>
        <v>0.371</v>
      </c>
      <c r="I27" s="59"/>
      <c r="J27" s="504"/>
      <c r="K27" s="41"/>
      <c r="L27" s="41"/>
      <c r="M27" s="41"/>
      <c r="N27" s="120">
        <f>$H$27/2</f>
        <v>0.1855</v>
      </c>
      <c r="O27" s="120">
        <f>$H$27/2</f>
        <v>0.1855</v>
      </c>
      <c r="P27" s="41"/>
      <c r="Q27" s="41"/>
      <c r="R27" s="41"/>
      <c r="S27" s="41"/>
      <c r="T27" s="41"/>
      <c r="U27" s="43"/>
      <c r="V27" s="4"/>
      <c r="W27" s="4"/>
      <c r="X27" s="4"/>
      <c r="Y27" s="3"/>
    </row>
    <row r="28" spans="1:25" ht="21" customHeight="1" thickBot="1">
      <c r="A28" s="27"/>
      <c r="B28" s="32"/>
      <c r="C28" s="21"/>
      <c r="D28" s="531"/>
      <c r="E28" s="521"/>
      <c r="F28" s="40"/>
      <c r="G28" s="57"/>
      <c r="H28" s="97"/>
      <c r="I28" s="59"/>
      <c r="J28" s="504"/>
      <c r="K28" s="41"/>
      <c r="L28" s="41"/>
      <c r="M28" s="41"/>
      <c r="N28" s="120"/>
      <c r="O28" s="120"/>
      <c r="P28" s="41"/>
      <c r="Q28" s="41"/>
      <c r="R28" s="41"/>
      <c r="S28" s="41"/>
      <c r="T28" s="41"/>
      <c r="U28" s="43"/>
      <c r="V28" s="4"/>
      <c r="W28" s="4"/>
      <c r="X28" s="4"/>
      <c r="Y28" s="3"/>
    </row>
    <row r="29" spans="1:25" ht="21" customHeight="1" thickBot="1">
      <c r="A29" s="27"/>
      <c r="B29" s="32"/>
      <c r="C29" s="21"/>
      <c r="D29" s="531"/>
      <c r="E29" s="521"/>
      <c r="F29" s="40"/>
      <c r="G29" s="57"/>
      <c r="H29" s="97"/>
      <c r="I29" s="59"/>
      <c r="J29" s="504"/>
      <c r="K29" s="41"/>
      <c r="L29" s="41"/>
      <c r="M29" s="41"/>
      <c r="N29" s="120"/>
      <c r="O29" s="120"/>
      <c r="P29" s="41"/>
      <c r="Q29" s="41"/>
      <c r="R29" s="41"/>
      <c r="S29" s="41"/>
      <c r="T29" s="41"/>
      <c r="U29" s="43"/>
      <c r="V29" s="4"/>
      <c r="W29" s="4"/>
      <c r="X29" s="4"/>
      <c r="Y29" s="3"/>
    </row>
    <row r="30" spans="1:25" ht="21" customHeight="1" thickBot="1">
      <c r="A30" s="27"/>
      <c r="B30" s="32"/>
      <c r="C30" s="21"/>
      <c r="D30" s="531"/>
      <c r="E30" s="521"/>
      <c r="F30" s="40"/>
      <c r="G30" s="57"/>
      <c r="H30" s="97"/>
      <c r="I30" s="59"/>
      <c r="J30" s="504"/>
      <c r="K30" s="41"/>
      <c r="L30" s="41"/>
      <c r="M30" s="41"/>
      <c r="N30" s="120"/>
      <c r="O30" s="120"/>
      <c r="P30" s="41"/>
      <c r="Q30" s="41"/>
      <c r="R30" s="41"/>
      <c r="S30" s="41"/>
      <c r="T30" s="41"/>
      <c r="U30" s="43"/>
      <c r="V30" s="4"/>
      <c r="W30" s="4"/>
      <c r="X30" s="4"/>
      <c r="Y30" s="3"/>
    </row>
    <row r="31" spans="1:24" ht="27" customHeight="1" thickBot="1">
      <c r="A31" s="28">
        <v>20</v>
      </c>
      <c r="B31" s="33" t="s">
        <v>48</v>
      </c>
      <c r="C31" s="22" t="s">
        <v>41</v>
      </c>
      <c r="D31" s="536">
        <v>150</v>
      </c>
      <c r="E31" s="523">
        <v>20</v>
      </c>
      <c r="F31" s="48" t="s">
        <v>51</v>
      </c>
      <c r="G31" s="45" t="s">
        <v>51</v>
      </c>
      <c r="H31" s="98"/>
      <c r="I31" s="48"/>
      <c r="J31" s="505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6"/>
      <c r="V31" s="4"/>
      <c r="W31" s="4"/>
      <c r="X31" s="4"/>
    </row>
    <row r="32" spans="1:24" ht="15">
      <c r="A32" s="6"/>
      <c r="B32" s="7"/>
      <c r="C32" s="8"/>
      <c r="D32" s="8"/>
      <c r="E32" s="8"/>
      <c r="F32" s="9"/>
      <c r="G32" s="10"/>
      <c r="H32" s="10"/>
      <c r="I32" s="9"/>
      <c r="J32" s="11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6" s="170" customFormat="1" ht="24.75" customHeight="1">
      <c r="A33" s="770"/>
      <c r="B33" s="770"/>
      <c r="C33" s="770"/>
      <c r="D33" s="770"/>
      <c r="E33" s="770"/>
      <c r="F33" s="770"/>
      <c r="G33" s="770"/>
      <c r="H33" s="770"/>
      <c r="I33" s="167"/>
      <c r="J33" s="167"/>
      <c r="K33" s="167"/>
      <c r="L33" s="169"/>
      <c r="N33" s="169"/>
      <c r="P33" s="169"/>
      <c r="Q33" s="169"/>
      <c r="S33" s="169"/>
      <c r="T33" s="169"/>
      <c r="U33" s="169"/>
      <c r="V33" s="169"/>
      <c r="W33" s="169"/>
      <c r="X33" s="166"/>
      <c r="Y33" s="166"/>
      <c r="Z33" s="166"/>
    </row>
    <row r="34" spans="1:24" ht="15">
      <c r="A34" s="6"/>
      <c r="B34" s="7"/>
      <c r="C34" s="8"/>
      <c r="D34" s="8"/>
      <c r="E34" s="8"/>
      <c r="F34" s="9"/>
      <c r="G34" s="10"/>
      <c r="H34" s="10"/>
      <c r="I34" s="9"/>
      <c r="J34" s="11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5">
      <c r="A35" s="6"/>
      <c r="B35" s="732"/>
      <c r="C35" s="732"/>
      <c r="D35" s="732"/>
      <c r="E35" s="732"/>
      <c r="F35" s="732"/>
      <c r="G35" s="732"/>
      <c r="H35" s="732"/>
      <c r="I35" s="9"/>
      <c r="J35" s="11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</sheetData>
  <sheetProtection selectLockedCells="1" selectUnlockedCells="1"/>
  <mergeCells count="12">
    <mergeCell ref="A1:AA2"/>
    <mergeCell ref="A4:A5"/>
    <mergeCell ref="B4:B5"/>
    <mergeCell ref="C4:C5"/>
    <mergeCell ref="F4:G4"/>
    <mergeCell ref="H4:H5"/>
    <mergeCell ref="I4:U4"/>
    <mergeCell ref="I5:J5"/>
    <mergeCell ref="D4:D5"/>
    <mergeCell ref="E4:E5"/>
    <mergeCell ref="A33:H33"/>
    <mergeCell ref="B35:H35"/>
  </mergeCells>
  <printOptions horizontalCentered="1" verticalCentered="1"/>
  <pageMargins left="0.4330708661417323" right="0.15748031496062992" top="0.5511811023622047" bottom="0.2755905511811024" header="0.5118110236220472" footer="0.5118110236220472"/>
  <pageSetup fitToHeight="1" fitToWidth="1" horizontalDpi="300" verticalDpi="300" orientation="landscape" paperSize="9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"/>
  <sheetViews>
    <sheetView view="pageBreakPreview" zoomScale="85" zoomScaleNormal="85" zoomScaleSheetLayoutView="85" zoomScalePageLayoutView="0" workbookViewId="0" topLeftCell="A1">
      <selection activeCell="E31" sqref="E31"/>
    </sheetView>
  </sheetViews>
  <sheetFormatPr defaultColWidth="9.00390625" defaultRowHeight="12.75"/>
  <cols>
    <col min="1" max="1" width="4.00390625" style="0" customWidth="1"/>
    <col min="2" max="2" width="36.125" style="0" customWidth="1"/>
    <col min="4" max="4" width="18.625" style="0" customWidth="1"/>
    <col min="5" max="5" width="16.125" style="0" customWidth="1"/>
    <col min="6" max="6" width="9.25390625" style="0" customWidth="1"/>
    <col min="7" max="8" width="12.25390625" style="0" customWidth="1"/>
    <col min="17" max="17" width="8.75390625" style="0" customWidth="1"/>
    <col min="21" max="21" width="9.75390625" style="0" customWidth="1"/>
  </cols>
  <sheetData>
    <row r="1" spans="1:27" ht="13.5" customHeight="1">
      <c r="A1" s="768" t="s">
        <v>54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  <c r="X1" s="768"/>
      <c r="Y1" s="768"/>
      <c r="Z1" s="768"/>
      <c r="AA1" s="768"/>
    </row>
    <row r="2" spans="1:27" ht="33" customHeight="1">
      <c r="A2" s="768"/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8"/>
      <c r="X2" s="768"/>
      <c r="Y2" s="768"/>
      <c r="Z2" s="768"/>
      <c r="AA2" s="768"/>
    </row>
    <row r="3" spans="18:21" ht="14.25" customHeight="1" thickBot="1">
      <c r="R3" s="594" t="s">
        <v>81</v>
      </c>
      <c r="S3" s="595"/>
      <c r="T3" s="520" t="s">
        <v>85</v>
      </c>
      <c r="U3" s="595"/>
    </row>
    <row r="4" spans="1:24" ht="31.5" customHeight="1" thickBot="1">
      <c r="A4" s="777" t="s">
        <v>6</v>
      </c>
      <c r="B4" s="766" t="s">
        <v>7</v>
      </c>
      <c r="C4" s="779" t="s">
        <v>8</v>
      </c>
      <c r="D4" s="764" t="s">
        <v>83</v>
      </c>
      <c r="E4" s="766" t="s">
        <v>84</v>
      </c>
      <c r="F4" s="771" t="s">
        <v>50</v>
      </c>
      <c r="G4" s="772"/>
      <c r="H4" s="730" t="s">
        <v>82</v>
      </c>
      <c r="I4" s="773" t="s">
        <v>9</v>
      </c>
      <c r="J4" s="774"/>
      <c r="K4" s="774"/>
      <c r="L4" s="774"/>
      <c r="M4" s="774"/>
      <c r="N4" s="774"/>
      <c r="O4" s="774"/>
      <c r="P4" s="774"/>
      <c r="Q4" s="774"/>
      <c r="R4" s="774"/>
      <c r="S4" s="774"/>
      <c r="T4" s="775"/>
      <c r="U4" s="776"/>
      <c r="V4" s="1"/>
      <c r="W4" s="1"/>
      <c r="X4" s="1"/>
    </row>
    <row r="5" spans="1:25" ht="33" customHeight="1" thickBot="1">
      <c r="A5" s="778"/>
      <c r="B5" s="767"/>
      <c r="C5" s="780"/>
      <c r="D5" s="765"/>
      <c r="E5" s="767"/>
      <c r="F5" s="16" t="s">
        <v>49</v>
      </c>
      <c r="G5" s="54" t="s">
        <v>10</v>
      </c>
      <c r="H5" s="731"/>
      <c r="I5" s="757" t="s">
        <v>4</v>
      </c>
      <c r="J5" s="769"/>
      <c r="K5" s="121" t="s">
        <v>3</v>
      </c>
      <c r="L5" s="121" t="s">
        <v>0</v>
      </c>
      <c r="M5" s="121" t="s">
        <v>1</v>
      </c>
      <c r="N5" s="121" t="s">
        <v>5</v>
      </c>
      <c r="O5" s="121" t="s">
        <v>11</v>
      </c>
      <c r="P5" s="121" t="s">
        <v>12</v>
      </c>
      <c r="Q5" s="121" t="s">
        <v>13</v>
      </c>
      <c r="R5" s="121" t="s">
        <v>14</v>
      </c>
      <c r="S5" s="121" t="s">
        <v>15</v>
      </c>
      <c r="T5" s="121" t="s">
        <v>16</v>
      </c>
      <c r="U5" s="122" t="s">
        <v>17</v>
      </c>
      <c r="V5" s="2"/>
      <c r="W5" s="2"/>
      <c r="X5" s="2"/>
      <c r="Y5" s="3"/>
    </row>
    <row r="6" spans="1:25" ht="16.5" thickBot="1">
      <c r="A6" s="25"/>
      <c r="B6" s="19"/>
      <c r="C6" s="19"/>
      <c r="D6" s="524"/>
      <c r="E6" s="19"/>
      <c r="F6" s="18"/>
      <c r="G6" s="55"/>
      <c r="H6" s="22"/>
      <c r="I6" s="415" t="s">
        <v>49</v>
      </c>
      <c r="J6" s="474" t="s">
        <v>10</v>
      </c>
      <c r="K6" s="13"/>
      <c r="L6" s="14"/>
      <c r="M6" s="13"/>
      <c r="N6" s="14"/>
      <c r="O6" s="13"/>
      <c r="P6" s="14"/>
      <c r="Q6" s="13"/>
      <c r="R6" s="14"/>
      <c r="S6" s="13"/>
      <c r="T6" s="17"/>
      <c r="U6" s="15"/>
      <c r="V6" s="2"/>
      <c r="W6" s="2"/>
      <c r="X6" s="2"/>
      <c r="Y6" s="3"/>
    </row>
    <row r="7" spans="1:25" ht="21.75" customHeight="1">
      <c r="A7" s="67">
        <v>1</v>
      </c>
      <c r="B7" s="68" t="s">
        <v>18</v>
      </c>
      <c r="C7" s="69" t="s">
        <v>19</v>
      </c>
      <c r="D7" s="543">
        <v>559.9660633615049</v>
      </c>
      <c r="E7" s="574">
        <v>236.59510824</v>
      </c>
      <c r="F7" s="111">
        <f>F8+F9</f>
        <v>323.3709551215049</v>
      </c>
      <c r="G7" s="71">
        <f>G8+G9</f>
        <v>70</v>
      </c>
      <c r="H7" s="131">
        <f>F7-G7</f>
        <v>253.3709551215049</v>
      </c>
      <c r="I7" s="123">
        <f>I8+I9</f>
        <v>60</v>
      </c>
      <c r="J7" s="509">
        <v>0.5</v>
      </c>
      <c r="K7" s="117">
        <f>K8+K9</f>
        <v>50</v>
      </c>
      <c r="L7" s="117">
        <f>L8+L9</f>
        <v>50</v>
      </c>
      <c r="M7" s="117">
        <f>M8+M9</f>
        <v>50</v>
      </c>
      <c r="N7" s="117">
        <f>N8+N9</f>
        <v>50</v>
      </c>
      <c r="O7" s="117">
        <f>O8+O9</f>
        <v>67</v>
      </c>
      <c r="P7" s="117"/>
      <c r="Q7" s="117"/>
      <c r="R7" s="117"/>
      <c r="S7" s="73"/>
      <c r="T7" s="74"/>
      <c r="U7" s="75"/>
      <c r="V7" s="4"/>
      <c r="W7" s="4"/>
      <c r="X7" s="4"/>
      <c r="Y7" s="3"/>
    </row>
    <row r="8" spans="1:25" ht="21" customHeight="1">
      <c r="A8" s="76"/>
      <c r="B8" s="77" t="s">
        <v>20</v>
      </c>
      <c r="C8" s="69" t="s">
        <v>19</v>
      </c>
      <c r="D8" s="542">
        <v>407.2886633615049</v>
      </c>
      <c r="E8" s="571">
        <v>152.99827824000002</v>
      </c>
      <c r="F8" s="112">
        <f>D8-E8</f>
        <v>254.2903851215049</v>
      </c>
      <c r="G8" s="79">
        <v>45</v>
      </c>
      <c r="H8" s="100">
        <f>F8-G8</f>
        <v>209.2903851215049</v>
      </c>
      <c r="I8" s="124">
        <v>45</v>
      </c>
      <c r="J8" s="510">
        <v>0</v>
      </c>
      <c r="K8" s="115">
        <v>35</v>
      </c>
      <c r="L8" s="115">
        <v>30</v>
      </c>
      <c r="M8" s="115">
        <v>30</v>
      </c>
      <c r="N8" s="115">
        <v>30</v>
      </c>
      <c r="O8" s="115">
        <v>30</v>
      </c>
      <c r="P8" s="115">
        <v>9.3</v>
      </c>
      <c r="Q8" s="115"/>
      <c r="R8" s="115"/>
      <c r="S8" s="80"/>
      <c r="T8" s="79"/>
      <c r="U8" s="81"/>
      <c r="V8" s="4"/>
      <c r="W8" s="4"/>
      <c r="X8" s="4"/>
      <c r="Y8" s="3"/>
    </row>
    <row r="9" spans="1:25" ht="24" customHeight="1" thickBot="1">
      <c r="A9" s="26"/>
      <c r="B9" s="31" t="s">
        <v>21</v>
      </c>
      <c r="C9" s="20" t="s">
        <v>19</v>
      </c>
      <c r="D9" s="565">
        <v>152.6774</v>
      </c>
      <c r="E9" s="572">
        <v>83.59683</v>
      </c>
      <c r="F9" s="62">
        <f>D9-E9</f>
        <v>69.08057000000001</v>
      </c>
      <c r="G9" s="56">
        <v>25</v>
      </c>
      <c r="H9" s="101">
        <f aca="true" t="shared" si="0" ref="H9:H27">F9-G9</f>
        <v>44.08057000000001</v>
      </c>
      <c r="I9" s="124">
        <v>15</v>
      </c>
      <c r="J9" s="510">
        <v>0.5</v>
      </c>
      <c r="K9" s="115">
        <v>15</v>
      </c>
      <c r="L9" s="115">
        <v>20</v>
      </c>
      <c r="M9" s="115">
        <v>20</v>
      </c>
      <c r="N9" s="115">
        <v>20</v>
      </c>
      <c r="O9" s="115">
        <v>37</v>
      </c>
      <c r="P9" s="115"/>
      <c r="Q9" s="115"/>
      <c r="R9" s="115"/>
      <c r="S9" s="37"/>
      <c r="T9" s="38"/>
      <c r="U9" s="39"/>
      <c r="V9" s="4"/>
      <c r="W9" s="4"/>
      <c r="X9" s="4"/>
      <c r="Y9" s="3"/>
    </row>
    <row r="10" spans="1:25" ht="24" customHeight="1" thickBot="1">
      <c r="A10" s="27">
        <v>2</v>
      </c>
      <c r="B10" s="32" t="s">
        <v>22</v>
      </c>
      <c r="C10" s="21" t="s">
        <v>19</v>
      </c>
      <c r="D10" s="546">
        <v>67.19592760338058</v>
      </c>
      <c r="E10" s="541">
        <v>28.3914129888</v>
      </c>
      <c r="F10" s="65">
        <f>D10-E10</f>
        <v>38.80451461458058</v>
      </c>
      <c r="G10" s="57">
        <v>15</v>
      </c>
      <c r="H10" s="64">
        <f t="shared" si="0"/>
        <v>23.804514614580583</v>
      </c>
      <c r="I10" s="125">
        <v>5</v>
      </c>
      <c r="J10" s="511">
        <v>0</v>
      </c>
      <c r="K10" s="118">
        <v>5</v>
      </c>
      <c r="L10" s="118">
        <v>5</v>
      </c>
      <c r="M10" s="118">
        <v>5</v>
      </c>
      <c r="N10" s="118">
        <v>3.8</v>
      </c>
      <c r="O10" s="118"/>
      <c r="P10" s="118"/>
      <c r="Q10" s="118"/>
      <c r="R10" s="118"/>
      <c r="S10" s="41"/>
      <c r="T10" s="42"/>
      <c r="U10" s="43"/>
      <c r="V10" s="4"/>
      <c r="W10" s="4"/>
      <c r="X10" s="4"/>
      <c r="Y10" s="3"/>
    </row>
    <row r="11" spans="1:25" ht="22.5" customHeight="1" thickBot="1">
      <c r="A11" s="28">
        <v>3</v>
      </c>
      <c r="B11" s="33" t="s">
        <v>23</v>
      </c>
      <c r="C11" s="22" t="s">
        <v>19</v>
      </c>
      <c r="D11" s="529">
        <v>0.3</v>
      </c>
      <c r="E11" s="530">
        <v>0.2</v>
      </c>
      <c r="F11" s="36">
        <v>0.1</v>
      </c>
      <c r="G11" s="56"/>
      <c r="H11" s="61">
        <f t="shared" si="0"/>
        <v>0.1</v>
      </c>
      <c r="I11" s="126"/>
      <c r="J11" s="505">
        <v>0</v>
      </c>
      <c r="K11" s="44"/>
      <c r="L11" s="44">
        <v>0.02</v>
      </c>
      <c r="M11" s="44">
        <v>0.02</v>
      </c>
      <c r="N11" s="44">
        <v>0.02</v>
      </c>
      <c r="O11" s="44">
        <v>0.02</v>
      </c>
      <c r="P11" s="44">
        <v>0.02</v>
      </c>
      <c r="Q11" s="44"/>
      <c r="R11" s="44"/>
      <c r="S11" s="44"/>
      <c r="T11" s="45"/>
      <c r="U11" s="46"/>
      <c r="V11" s="4"/>
      <c r="W11" s="4"/>
      <c r="X11" s="4"/>
      <c r="Y11" s="3"/>
    </row>
    <row r="12" spans="1:25" ht="22.5" customHeight="1" thickBot="1">
      <c r="A12" s="27">
        <v>4</v>
      </c>
      <c r="B12" s="32" t="s">
        <v>24</v>
      </c>
      <c r="C12" s="21" t="s">
        <v>19</v>
      </c>
      <c r="D12" s="546">
        <v>183.105</v>
      </c>
      <c r="E12" s="541">
        <v>118.00995999999999</v>
      </c>
      <c r="F12" s="110">
        <f aca="true" t="shared" si="1" ref="F12:F18">D12-E12</f>
        <v>65.09504</v>
      </c>
      <c r="G12" s="57">
        <v>41.12</v>
      </c>
      <c r="H12" s="64">
        <f t="shared" si="0"/>
        <v>23.97504</v>
      </c>
      <c r="I12" s="125">
        <v>15</v>
      </c>
      <c r="J12" s="511">
        <v>0</v>
      </c>
      <c r="K12" s="118">
        <v>15</v>
      </c>
      <c r="L12" s="118">
        <v>15</v>
      </c>
      <c r="M12" s="118">
        <v>15</v>
      </c>
      <c r="N12" s="118">
        <v>9.54</v>
      </c>
      <c r="O12" s="118"/>
      <c r="P12" s="118"/>
      <c r="Q12" s="41"/>
      <c r="R12" s="41"/>
      <c r="S12" s="41"/>
      <c r="T12" s="42"/>
      <c r="U12" s="43"/>
      <c r="V12" s="4"/>
      <c r="W12" s="4"/>
      <c r="X12" s="4"/>
      <c r="Y12" s="3"/>
    </row>
    <row r="13" spans="1:25" ht="20.25" customHeight="1" thickBot="1">
      <c r="A13" s="29">
        <v>5</v>
      </c>
      <c r="B13" s="34" t="s">
        <v>25</v>
      </c>
      <c r="C13" s="23" t="s">
        <v>19</v>
      </c>
      <c r="D13" s="549">
        <v>9.5842341386925</v>
      </c>
      <c r="E13" s="533">
        <v>0</v>
      </c>
      <c r="F13" s="114">
        <f t="shared" si="1"/>
        <v>9.5842341386925</v>
      </c>
      <c r="G13" s="56">
        <v>0</v>
      </c>
      <c r="H13" s="101">
        <f t="shared" si="0"/>
        <v>9.5842341386925</v>
      </c>
      <c r="I13" s="126"/>
      <c r="J13" s="512">
        <v>0</v>
      </c>
      <c r="K13" s="119">
        <v>1</v>
      </c>
      <c r="L13" s="119">
        <v>1</v>
      </c>
      <c r="M13" s="119">
        <v>1.6</v>
      </c>
      <c r="N13" s="119">
        <v>2</v>
      </c>
      <c r="O13" s="119">
        <v>2</v>
      </c>
      <c r="P13" s="119">
        <v>2</v>
      </c>
      <c r="S13" s="44"/>
      <c r="T13" s="45"/>
      <c r="U13" s="46"/>
      <c r="V13" s="4"/>
      <c r="W13" s="4"/>
      <c r="X13" s="4"/>
      <c r="Y13" s="3"/>
    </row>
    <row r="14" spans="1:25" ht="19.5" customHeight="1" thickBot="1">
      <c r="A14" s="27">
        <v>6</v>
      </c>
      <c r="B14" s="32" t="s">
        <v>26</v>
      </c>
      <c r="C14" s="21" t="s">
        <v>19</v>
      </c>
      <c r="D14" s="546">
        <v>20.98968587724</v>
      </c>
      <c r="E14" s="541">
        <v>7.041761760000001</v>
      </c>
      <c r="F14" s="65">
        <f t="shared" si="1"/>
        <v>13.94792411724</v>
      </c>
      <c r="G14" s="66">
        <v>1.5</v>
      </c>
      <c r="H14" s="64">
        <f t="shared" si="0"/>
        <v>12.44792411724</v>
      </c>
      <c r="I14" s="125">
        <v>1.5</v>
      </c>
      <c r="J14" s="511"/>
      <c r="K14" s="118">
        <v>1.5</v>
      </c>
      <c r="L14" s="118">
        <v>3.05</v>
      </c>
      <c r="M14" s="118">
        <v>2</v>
      </c>
      <c r="N14" s="118">
        <v>2.1</v>
      </c>
      <c r="O14" s="118">
        <v>1</v>
      </c>
      <c r="P14" s="118">
        <v>1</v>
      </c>
      <c r="Q14" s="41">
        <v>0.3</v>
      </c>
      <c r="R14" s="41"/>
      <c r="S14" s="41"/>
      <c r="T14" s="42"/>
      <c r="U14" s="43"/>
      <c r="V14" s="4"/>
      <c r="W14" s="4"/>
      <c r="X14" s="4"/>
      <c r="Y14" s="3"/>
    </row>
    <row r="15" spans="1:25" ht="22.5" customHeight="1" thickBot="1">
      <c r="A15" s="29">
        <v>7</v>
      </c>
      <c r="B15" s="34" t="s">
        <v>27</v>
      </c>
      <c r="C15" s="23" t="s">
        <v>19</v>
      </c>
      <c r="D15" s="532">
        <v>0.75</v>
      </c>
      <c r="E15" s="533">
        <v>0.35</v>
      </c>
      <c r="F15" s="36">
        <f t="shared" si="1"/>
        <v>0.4</v>
      </c>
      <c r="G15" s="56">
        <v>0.05</v>
      </c>
      <c r="H15" s="61">
        <f t="shared" si="0"/>
        <v>0.35000000000000003</v>
      </c>
      <c r="I15" s="126"/>
      <c r="J15" s="512"/>
      <c r="K15" s="119">
        <v>0.05</v>
      </c>
      <c r="L15" s="119">
        <v>0.04</v>
      </c>
      <c r="M15" s="44">
        <v>0.04</v>
      </c>
      <c r="N15" s="44">
        <v>0.17</v>
      </c>
      <c r="O15" s="44">
        <v>0.05</v>
      </c>
      <c r="P15" s="44"/>
      <c r="Q15" s="44"/>
      <c r="R15" s="44"/>
      <c r="S15" s="44"/>
      <c r="T15" s="45"/>
      <c r="U15" s="46"/>
      <c r="V15" s="4"/>
      <c r="W15" s="4"/>
      <c r="X15" s="4"/>
      <c r="Y15" s="3"/>
    </row>
    <row r="16" spans="1:25" ht="20.25" customHeight="1" thickBot="1">
      <c r="A16" s="27">
        <v>8</v>
      </c>
      <c r="B16" s="32" t="s">
        <v>28</v>
      </c>
      <c r="C16" s="21" t="s">
        <v>29</v>
      </c>
      <c r="D16" s="531">
        <v>3.5</v>
      </c>
      <c r="E16" s="521">
        <v>2</v>
      </c>
      <c r="F16" s="65">
        <f t="shared" si="1"/>
        <v>1.5</v>
      </c>
      <c r="G16" s="66">
        <v>1.34</v>
      </c>
      <c r="H16" s="64">
        <f t="shared" si="0"/>
        <v>0.15999999999999992</v>
      </c>
      <c r="I16" s="127"/>
      <c r="J16" s="513">
        <v>0.05</v>
      </c>
      <c r="K16" s="104"/>
      <c r="L16" s="104"/>
      <c r="M16" s="104"/>
      <c r="N16" s="104">
        <v>0.16</v>
      </c>
      <c r="O16" s="41"/>
      <c r="P16" s="41"/>
      <c r="Q16" s="41"/>
      <c r="R16" s="41"/>
      <c r="S16" s="41"/>
      <c r="T16" s="42"/>
      <c r="U16" s="43"/>
      <c r="V16" s="4"/>
      <c r="W16" s="4"/>
      <c r="X16" s="4"/>
      <c r="Y16" s="3"/>
    </row>
    <row r="17" spans="1:25" ht="21.75" customHeight="1" thickBot="1">
      <c r="A17" s="29">
        <v>9</v>
      </c>
      <c r="B17" s="34" t="s">
        <v>30</v>
      </c>
      <c r="C17" s="23" t="s">
        <v>31</v>
      </c>
      <c r="D17" s="549">
        <v>925.6963</v>
      </c>
      <c r="E17" s="550">
        <v>551.73399</v>
      </c>
      <c r="F17" s="62">
        <f>D17-E17</f>
        <v>373.96231</v>
      </c>
      <c r="G17" s="56">
        <v>150</v>
      </c>
      <c r="H17" s="63">
        <f t="shared" si="0"/>
        <v>223.96231</v>
      </c>
      <c r="I17" s="126">
        <v>0</v>
      </c>
      <c r="J17" s="505"/>
      <c r="K17" s="119"/>
      <c r="L17" s="119">
        <v>100</v>
      </c>
      <c r="M17" s="119">
        <v>50</v>
      </c>
      <c r="N17" s="119">
        <v>50</v>
      </c>
      <c r="O17" s="119">
        <v>23.962</v>
      </c>
      <c r="P17" s="119"/>
      <c r="Q17" s="44"/>
      <c r="R17" s="44"/>
      <c r="S17" s="44"/>
      <c r="T17" s="45"/>
      <c r="U17" s="46"/>
      <c r="V17" s="4"/>
      <c r="W17" s="4"/>
      <c r="X17" s="4"/>
      <c r="Y17" s="3"/>
    </row>
    <row r="18" spans="1:25" ht="21" customHeight="1" thickBot="1">
      <c r="A18" s="27">
        <v>10</v>
      </c>
      <c r="B18" s="32" t="s">
        <v>32</v>
      </c>
      <c r="C18" s="21" t="s">
        <v>2</v>
      </c>
      <c r="D18" s="531">
        <v>1414</v>
      </c>
      <c r="E18" s="521">
        <v>0</v>
      </c>
      <c r="F18" s="40">
        <f t="shared" si="1"/>
        <v>1414</v>
      </c>
      <c r="G18" s="57">
        <v>0</v>
      </c>
      <c r="H18" s="60">
        <f t="shared" si="0"/>
        <v>1414</v>
      </c>
      <c r="I18" s="127"/>
      <c r="J18" s="504"/>
      <c r="K18" s="41"/>
      <c r="L18" s="41"/>
      <c r="M18" s="41"/>
      <c r="N18" s="41"/>
      <c r="O18" s="41"/>
      <c r="P18" s="41"/>
      <c r="Q18" s="41">
        <v>1414</v>
      </c>
      <c r="R18" s="41"/>
      <c r="S18" s="41"/>
      <c r="T18" s="42"/>
      <c r="U18" s="43"/>
      <c r="V18" s="4"/>
      <c r="W18" s="4"/>
      <c r="X18" s="4"/>
      <c r="Y18" s="3"/>
    </row>
    <row r="19" spans="1:25" ht="19.5" customHeight="1" thickBot="1">
      <c r="A19" s="82">
        <v>11</v>
      </c>
      <c r="B19" s="83" t="s">
        <v>33</v>
      </c>
      <c r="C19" s="84" t="s">
        <v>41</v>
      </c>
      <c r="D19" s="534"/>
      <c r="E19" s="535"/>
      <c r="F19" s="85">
        <v>0.01</v>
      </c>
      <c r="G19" s="86">
        <v>0</v>
      </c>
      <c r="H19" s="87">
        <f t="shared" si="0"/>
        <v>0.01</v>
      </c>
      <c r="I19" s="128"/>
      <c r="J19" s="506"/>
      <c r="K19" s="88"/>
      <c r="L19" s="88"/>
      <c r="M19" s="88"/>
      <c r="N19" s="88"/>
      <c r="O19" s="88"/>
      <c r="P19" s="88"/>
      <c r="Q19" s="88"/>
      <c r="R19" s="88">
        <v>0.01</v>
      </c>
      <c r="S19" s="88"/>
      <c r="T19" s="86"/>
      <c r="U19" s="89"/>
      <c r="V19" s="4"/>
      <c r="W19" s="4"/>
      <c r="X19" s="4"/>
      <c r="Y19" s="3"/>
    </row>
    <row r="20" spans="1:25" ht="20.25" customHeight="1" thickBot="1">
      <c r="A20" s="27">
        <v>12</v>
      </c>
      <c r="B20" s="32" t="s">
        <v>34</v>
      </c>
      <c r="C20" s="21" t="s">
        <v>35</v>
      </c>
      <c r="D20" s="547">
        <v>429.1</v>
      </c>
      <c r="E20" s="521">
        <v>0</v>
      </c>
      <c r="F20" s="573">
        <f>D20-E20</f>
        <v>429.1</v>
      </c>
      <c r="G20" s="42">
        <v>0</v>
      </c>
      <c r="H20" s="97">
        <f t="shared" si="0"/>
        <v>429.1</v>
      </c>
      <c r="I20" s="127"/>
      <c r="J20" s="504"/>
      <c r="K20" s="41"/>
      <c r="L20" s="41"/>
      <c r="M20" s="41">
        <v>132</v>
      </c>
      <c r="N20" s="41">
        <v>132</v>
      </c>
      <c r="O20" s="41">
        <v>165.1</v>
      </c>
      <c r="P20" s="41"/>
      <c r="Q20" s="41"/>
      <c r="R20" s="41"/>
      <c r="S20" s="41"/>
      <c r="T20" s="41"/>
      <c r="U20" s="43"/>
      <c r="V20" s="4"/>
      <c r="W20" s="4"/>
      <c r="X20" s="4"/>
      <c r="Y20" s="3"/>
    </row>
    <row r="21" spans="1:25" ht="24" customHeight="1" thickBot="1">
      <c r="A21" s="91">
        <v>13</v>
      </c>
      <c r="B21" s="92" t="s">
        <v>36</v>
      </c>
      <c r="C21" s="93" t="s">
        <v>2</v>
      </c>
      <c r="D21" s="529">
        <v>287</v>
      </c>
      <c r="E21" s="530">
        <v>0</v>
      </c>
      <c r="F21" s="94">
        <f>D21-E21</f>
        <v>287</v>
      </c>
      <c r="G21" s="95">
        <v>0</v>
      </c>
      <c r="H21" s="87">
        <f t="shared" si="0"/>
        <v>287</v>
      </c>
      <c r="I21" s="129"/>
      <c r="J21" s="507"/>
      <c r="K21" s="53"/>
      <c r="L21" s="53"/>
      <c r="M21" s="53"/>
      <c r="N21" s="53"/>
      <c r="O21" s="53"/>
      <c r="P21" s="53"/>
      <c r="Q21" s="53">
        <v>287</v>
      </c>
      <c r="R21" s="53"/>
      <c r="S21" s="53"/>
      <c r="T21" s="95"/>
      <c r="U21" s="96"/>
      <c r="V21" s="4"/>
      <c r="W21" s="4"/>
      <c r="X21" s="4"/>
      <c r="Y21" s="5"/>
    </row>
    <row r="22" spans="1:25" ht="20.25" customHeight="1" thickBot="1">
      <c r="A22" s="27">
        <v>14</v>
      </c>
      <c r="B22" s="32" t="s">
        <v>37</v>
      </c>
      <c r="C22" s="21" t="s">
        <v>2</v>
      </c>
      <c r="D22" s="531"/>
      <c r="E22" s="521"/>
      <c r="F22" s="59"/>
      <c r="G22" s="42">
        <v>0</v>
      </c>
      <c r="H22" s="97"/>
      <c r="I22" s="127"/>
      <c r="J22" s="504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3"/>
      <c r="V22" s="4"/>
      <c r="W22" s="4"/>
      <c r="X22" s="4"/>
      <c r="Y22" s="3"/>
    </row>
    <row r="23" spans="1:25" ht="24" customHeight="1" thickBot="1">
      <c r="A23" s="91">
        <v>15</v>
      </c>
      <c r="B23" s="92" t="s">
        <v>38</v>
      </c>
      <c r="C23" s="93" t="s">
        <v>35</v>
      </c>
      <c r="D23" s="529">
        <v>35642</v>
      </c>
      <c r="E23" s="530">
        <v>8910.5</v>
      </c>
      <c r="F23" s="94">
        <f>D23-E23</f>
        <v>26731.5</v>
      </c>
      <c r="G23" s="95">
        <v>0</v>
      </c>
      <c r="H23" s="87">
        <f t="shared" si="0"/>
        <v>26731.5</v>
      </c>
      <c r="I23" s="129"/>
      <c r="J23" s="507"/>
      <c r="K23" s="53"/>
      <c r="L23" s="53"/>
      <c r="M23" s="53"/>
      <c r="N23" s="53"/>
      <c r="O23" s="53">
        <v>26731.5</v>
      </c>
      <c r="P23" s="53"/>
      <c r="Q23" s="53"/>
      <c r="R23" s="53"/>
      <c r="S23" s="53"/>
      <c r="T23" s="53"/>
      <c r="U23" s="96"/>
      <c r="V23" s="4"/>
      <c r="W23" s="4"/>
      <c r="X23" s="4"/>
      <c r="Y23" s="3"/>
    </row>
    <row r="24" spans="1:25" ht="32.25" thickBot="1">
      <c r="A24" s="27">
        <v>16</v>
      </c>
      <c r="B24" s="32" t="s">
        <v>39</v>
      </c>
      <c r="C24" s="21" t="s">
        <v>2</v>
      </c>
      <c r="D24" s="531">
        <v>304</v>
      </c>
      <c r="E24" s="521">
        <v>0</v>
      </c>
      <c r="F24" s="40">
        <v>304</v>
      </c>
      <c r="G24" s="57">
        <v>0</v>
      </c>
      <c r="H24" s="97">
        <f t="shared" si="0"/>
        <v>304</v>
      </c>
      <c r="I24" s="127"/>
      <c r="J24" s="504"/>
      <c r="K24" s="41"/>
      <c r="L24" s="41"/>
      <c r="M24" s="41"/>
      <c r="N24" s="41"/>
      <c r="O24" s="41"/>
      <c r="P24" s="41"/>
      <c r="Q24" s="41">
        <v>304</v>
      </c>
      <c r="R24" s="41"/>
      <c r="S24" s="41"/>
      <c r="T24" s="41"/>
      <c r="U24" s="43"/>
      <c r="V24" s="4"/>
      <c r="W24" s="4"/>
      <c r="X24" s="4"/>
      <c r="Y24" s="3"/>
    </row>
    <row r="25" spans="1:25" ht="22.5" customHeight="1" thickBot="1">
      <c r="A25" s="28">
        <v>17</v>
      </c>
      <c r="B25" s="33" t="s">
        <v>40</v>
      </c>
      <c r="C25" s="22" t="s">
        <v>41</v>
      </c>
      <c r="D25" s="536">
        <v>23.56</v>
      </c>
      <c r="E25" s="523">
        <v>0</v>
      </c>
      <c r="F25" s="133">
        <v>23.5564</v>
      </c>
      <c r="G25" s="134">
        <v>0</v>
      </c>
      <c r="H25" s="135">
        <f t="shared" si="0"/>
        <v>23.5564</v>
      </c>
      <c r="I25" s="126"/>
      <c r="J25" s="505"/>
      <c r="K25" s="44"/>
      <c r="L25" s="44"/>
      <c r="M25" s="44"/>
      <c r="N25" s="44"/>
      <c r="O25" s="44"/>
      <c r="P25" s="44"/>
      <c r="Q25" s="44"/>
      <c r="R25" s="44">
        <v>15</v>
      </c>
      <c r="S25" s="44">
        <v>8.56</v>
      </c>
      <c r="T25" s="44"/>
      <c r="U25" s="46"/>
      <c r="V25" s="4"/>
      <c r="W25" s="4"/>
      <c r="X25" s="4"/>
      <c r="Y25" s="3"/>
    </row>
    <row r="26" spans="1:25" ht="23.25" customHeight="1" thickBot="1">
      <c r="A26" s="91">
        <v>18</v>
      </c>
      <c r="B26" s="92" t="s">
        <v>42</v>
      </c>
      <c r="C26" s="93" t="s">
        <v>41</v>
      </c>
      <c r="D26" s="529"/>
      <c r="E26" s="530"/>
      <c r="F26" s="94">
        <v>0</v>
      </c>
      <c r="G26" s="95">
        <v>0</v>
      </c>
      <c r="H26" s="87"/>
      <c r="I26" s="129"/>
      <c r="J26" s="507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96"/>
      <c r="V26" s="4"/>
      <c r="W26" s="4"/>
      <c r="X26" s="4"/>
      <c r="Y26" s="3"/>
    </row>
    <row r="27" spans="1:25" ht="21" customHeight="1" thickBot="1">
      <c r="A27" s="27">
        <v>19</v>
      </c>
      <c r="B27" s="32" t="s">
        <v>43</v>
      </c>
      <c r="C27" s="21" t="s">
        <v>19</v>
      </c>
      <c r="D27" s="531">
        <v>0.34</v>
      </c>
      <c r="E27" s="521">
        <v>0</v>
      </c>
      <c r="F27" s="40">
        <v>0.34</v>
      </c>
      <c r="G27" s="57">
        <v>0</v>
      </c>
      <c r="H27" s="97">
        <f t="shared" si="0"/>
        <v>0.34</v>
      </c>
      <c r="I27" s="127"/>
      <c r="J27" s="504"/>
      <c r="K27" s="41"/>
      <c r="L27" s="41"/>
      <c r="M27" s="41"/>
      <c r="N27" s="41">
        <v>0.194</v>
      </c>
      <c r="O27" s="41">
        <v>0.146</v>
      </c>
      <c r="P27" s="41"/>
      <c r="Q27" s="41"/>
      <c r="R27" s="41"/>
      <c r="S27" s="41"/>
      <c r="T27" s="41"/>
      <c r="U27" s="43"/>
      <c r="V27" s="4"/>
      <c r="W27" s="4"/>
      <c r="X27" s="4"/>
      <c r="Y27" s="3"/>
    </row>
    <row r="28" spans="1:25" ht="25.5" customHeight="1" thickBot="1">
      <c r="A28" s="91">
        <v>20</v>
      </c>
      <c r="B28" s="92" t="s">
        <v>44</v>
      </c>
      <c r="C28" s="93" t="s">
        <v>45</v>
      </c>
      <c r="D28" s="529"/>
      <c r="E28" s="530"/>
      <c r="F28" s="94"/>
      <c r="G28" s="95"/>
      <c r="H28" s="87"/>
      <c r="I28" s="129"/>
      <c r="J28" s="507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96"/>
      <c r="V28" s="4"/>
      <c r="W28" s="4"/>
      <c r="X28" s="4"/>
      <c r="Y28" s="3"/>
    </row>
    <row r="29" spans="1:25" ht="20.25" customHeight="1" thickBot="1">
      <c r="A29" s="28">
        <v>21</v>
      </c>
      <c r="B29" s="33" t="s">
        <v>46</v>
      </c>
      <c r="C29" s="22" t="s">
        <v>19</v>
      </c>
      <c r="D29" s="536"/>
      <c r="E29" s="523"/>
      <c r="F29" s="48"/>
      <c r="G29" s="45"/>
      <c r="H29" s="98"/>
      <c r="I29" s="126"/>
      <c r="J29" s="505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6"/>
      <c r="V29" s="4"/>
      <c r="W29" s="4"/>
      <c r="X29" s="4"/>
      <c r="Y29" s="3"/>
    </row>
    <row r="30" spans="1:25" ht="20.25" customHeight="1" thickBot="1">
      <c r="A30" s="30">
        <v>22</v>
      </c>
      <c r="B30" s="35" t="s">
        <v>47</v>
      </c>
      <c r="C30" s="24" t="s">
        <v>19</v>
      </c>
      <c r="D30" s="537"/>
      <c r="E30" s="538"/>
      <c r="F30" s="49"/>
      <c r="G30" s="58"/>
      <c r="H30" s="90"/>
      <c r="I30" s="130"/>
      <c r="J30" s="508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1"/>
      <c r="V30" s="4"/>
      <c r="W30" s="4"/>
      <c r="X30" s="4"/>
      <c r="Y30" s="3"/>
    </row>
    <row r="31" spans="1:24" ht="27" customHeight="1" thickBot="1">
      <c r="A31" s="28">
        <v>23</v>
      </c>
      <c r="B31" s="33" t="s">
        <v>48</v>
      </c>
      <c r="C31" s="22" t="s">
        <v>41</v>
      </c>
      <c r="D31" s="536"/>
      <c r="E31" s="523"/>
      <c r="F31" s="48"/>
      <c r="G31" s="45"/>
      <c r="H31" s="98"/>
      <c r="I31" s="126"/>
      <c r="J31" s="505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6"/>
      <c r="V31" s="4"/>
      <c r="W31" s="4"/>
      <c r="X31" s="4"/>
    </row>
    <row r="32" spans="1:24" ht="15">
      <c r="A32" s="6"/>
      <c r="B32" s="7"/>
      <c r="C32" s="8"/>
      <c r="D32" s="8"/>
      <c r="E32" s="8"/>
      <c r="F32" s="9"/>
      <c r="G32" s="10"/>
      <c r="H32" s="10"/>
      <c r="I32" s="9"/>
      <c r="J32" s="11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6" s="170" customFormat="1" ht="33.75" customHeight="1">
      <c r="A33" s="770" t="s">
        <v>59</v>
      </c>
      <c r="B33" s="770"/>
      <c r="C33" s="770"/>
      <c r="D33" s="770"/>
      <c r="E33" s="770"/>
      <c r="F33" s="770"/>
      <c r="G33" s="770"/>
      <c r="H33" s="770"/>
      <c r="I33" s="167"/>
      <c r="J33" s="167"/>
      <c r="K33" s="167"/>
      <c r="L33" s="169" t="s">
        <v>60</v>
      </c>
      <c r="N33" s="169"/>
      <c r="P33" s="169"/>
      <c r="Q33" s="169"/>
      <c r="S33" s="169"/>
      <c r="T33" s="169"/>
      <c r="U33" s="169"/>
      <c r="V33" s="169"/>
      <c r="W33" s="169"/>
      <c r="X33" s="166"/>
      <c r="Y33" s="166"/>
      <c r="Z33" s="166"/>
    </row>
    <row r="34" spans="1:24" ht="15">
      <c r="A34" s="6"/>
      <c r="B34" s="7"/>
      <c r="C34" s="8"/>
      <c r="D34" s="8"/>
      <c r="E34" s="8"/>
      <c r="F34" s="9"/>
      <c r="G34" s="10"/>
      <c r="H34" s="10"/>
      <c r="I34" s="9"/>
      <c r="J34" s="11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5">
      <c r="A35" s="6"/>
      <c r="B35" s="732"/>
      <c r="C35" s="732"/>
      <c r="D35" s="732"/>
      <c r="E35" s="732"/>
      <c r="F35" s="732"/>
      <c r="G35" s="732"/>
      <c r="H35" s="732"/>
      <c r="I35" s="9"/>
      <c r="J35" s="11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</sheetData>
  <sheetProtection selectLockedCells="1" selectUnlockedCells="1"/>
  <mergeCells count="12">
    <mergeCell ref="A1:AA2"/>
    <mergeCell ref="A4:A5"/>
    <mergeCell ref="B4:B5"/>
    <mergeCell ref="C4:C5"/>
    <mergeCell ref="F4:G4"/>
    <mergeCell ref="H4:H5"/>
    <mergeCell ref="I4:U4"/>
    <mergeCell ref="I5:J5"/>
    <mergeCell ref="D4:D5"/>
    <mergeCell ref="E4:E5"/>
    <mergeCell ref="B35:H35"/>
    <mergeCell ref="A33:H33"/>
  </mergeCells>
  <printOptions horizontalCentered="1" verticalCentered="1"/>
  <pageMargins left="0.4330708661417323" right="0.15748031496062992" top="0.3937007874015748" bottom="0.2755905511811024" header="0.35433070866141736" footer="0.2755905511811024"/>
  <pageSetup fitToHeight="1" fitToWidth="1" horizontalDpi="300" verticalDpi="300" orientation="landscape" paperSize="9" scale="60" r:id="rId1"/>
  <colBreaks count="1" manualBreakCount="1">
    <brk id="21" max="3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"/>
  <sheetViews>
    <sheetView view="pageBreakPreview" zoomScale="85" zoomScaleNormal="85" zoomScaleSheetLayoutView="85" zoomScalePageLayoutView="0" workbookViewId="0" topLeftCell="A1">
      <selection activeCell="H31" sqref="H31"/>
    </sheetView>
  </sheetViews>
  <sheetFormatPr defaultColWidth="9.00390625" defaultRowHeight="12.75"/>
  <cols>
    <col min="1" max="1" width="4.00390625" style="0" customWidth="1"/>
    <col min="2" max="2" width="36.125" style="0" customWidth="1"/>
    <col min="4" max="4" width="19.75390625" style="0" customWidth="1"/>
    <col min="5" max="5" width="17.375" style="0" customWidth="1"/>
    <col min="6" max="6" width="9.25390625" style="0" hidden="1" customWidth="1"/>
    <col min="7" max="7" width="12.25390625" style="0" hidden="1" customWidth="1"/>
    <col min="8" max="8" width="12.25390625" style="0" customWidth="1"/>
    <col min="17" max="17" width="8.75390625" style="0" customWidth="1"/>
    <col min="21" max="21" width="9.75390625" style="0" customWidth="1"/>
    <col min="24" max="24" width="11.25390625" style="0" customWidth="1"/>
    <col min="25" max="25" width="13.75390625" style="0" customWidth="1"/>
  </cols>
  <sheetData>
    <row r="1" spans="1:27" ht="13.5" customHeight="1">
      <c r="A1" s="768" t="s">
        <v>55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  <c r="X1" s="768"/>
      <c r="Y1" s="768"/>
      <c r="Z1" s="768"/>
      <c r="AA1" s="768"/>
    </row>
    <row r="2" spans="1:27" ht="33" customHeight="1">
      <c r="A2" s="768"/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8"/>
      <c r="X2" s="768"/>
      <c r="Y2" s="768"/>
      <c r="Z2" s="768"/>
      <c r="AA2" s="768"/>
    </row>
    <row r="3" spans="18:21" ht="14.25" customHeight="1" thickBot="1">
      <c r="R3" s="594" t="s">
        <v>81</v>
      </c>
      <c r="S3" s="595"/>
      <c r="T3" s="520" t="s">
        <v>85</v>
      </c>
      <c r="U3" s="595"/>
    </row>
    <row r="4" spans="1:24" ht="31.5" customHeight="1" thickBot="1">
      <c r="A4" s="777" t="s">
        <v>6</v>
      </c>
      <c r="B4" s="766" t="s">
        <v>7</v>
      </c>
      <c r="C4" s="779" t="s">
        <v>8</v>
      </c>
      <c r="D4" s="764" t="s">
        <v>83</v>
      </c>
      <c r="E4" s="766" t="s">
        <v>84</v>
      </c>
      <c r="F4" s="771" t="s">
        <v>50</v>
      </c>
      <c r="G4" s="772"/>
      <c r="H4" s="730" t="s">
        <v>82</v>
      </c>
      <c r="I4" s="773" t="s">
        <v>9</v>
      </c>
      <c r="J4" s="774"/>
      <c r="K4" s="774"/>
      <c r="L4" s="774"/>
      <c r="M4" s="774"/>
      <c r="N4" s="774"/>
      <c r="O4" s="774"/>
      <c r="P4" s="774"/>
      <c r="Q4" s="774"/>
      <c r="R4" s="774"/>
      <c r="S4" s="774"/>
      <c r="T4" s="775"/>
      <c r="U4" s="776"/>
      <c r="V4" s="1"/>
      <c r="W4" s="1"/>
      <c r="X4" s="1"/>
    </row>
    <row r="5" spans="1:25" ht="19.5" customHeight="1" thickBot="1">
      <c r="A5" s="778"/>
      <c r="B5" s="767"/>
      <c r="C5" s="780"/>
      <c r="D5" s="765"/>
      <c r="E5" s="767"/>
      <c r="F5" s="16" t="s">
        <v>49</v>
      </c>
      <c r="G5" s="54" t="s">
        <v>10</v>
      </c>
      <c r="H5" s="731"/>
      <c r="I5" s="757" t="s">
        <v>4</v>
      </c>
      <c r="J5" s="769"/>
      <c r="K5" s="121" t="s">
        <v>3</v>
      </c>
      <c r="L5" s="121" t="s">
        <v>0</v>
      </c>
      <c r="M5" s="121" t="s">
        <v>1</v>
      </c>
      <c r="N5" s="121" t="s">
        <v>5</v>
      </c>
      <c r="O5" s="121" t="s">
        <v>11</v>
      </c>
      <c r="P5" s="121" t="s">
        <v>12</v>
      </c>
      <c r="Q5" s="121" t="s">
        <v>13</v>
      </c>
      <c r="R5" s="121" t="s">
        <v>14</v>
      </c>
      <c r="S5" s="121" t="s">
        <v>15</v>
      </c>
      <c r="T5" s="121" t="s">
        <v>16</v>
      </c>
      <c r="U5" s="122" t="s">
        <v>17</v>
      </c>
      <c r="V5" s="2"/>
      <c r="W5" s="2"/>
      <c r="X5" s="2"/>
      <c r="Y5" s="3"/>
    </row>
    <row r="6" spans="1:25" ht="16.5" thickBot="1">
      <c r="A6" s="25"/>
      <c r="B6" s="19"/>
      <c r="C6" s="19"/>
      <c r="D6" s="524"/>
      <c r="E6" s="19"/>
      <c r="F6" s="18"/>
      <c r="G6" s="55"/>
      <c r="H6" s="22"/>
      <c r="I6" s="415" t="s">
        <v>49</v>
      </c>
      <c r="J6" s="474" t="s">
        <v>10</v>
      </c>
      <c r="K6" s="13"/>
      <c r="L6" s="14"/>
      <c r="M6" s="13"/>
      <c r="N6" s="14"/>
      <c r="O6" s="13"/>
      <c r="P6" s="14"/>
      <c r="Q6" s="13"/>
      <c r="R6" s="14"/>
      <c r="S6" s="13"/>
      <c r="T6" s="17"/>
      <c r="U6" s="15"/>
      <c r="V6" s="2"/>
      <c r="W6" s="2"/>
      <c r="X6" s="2"/>
      <c r="Y6" s="3"/>
    </row>
    <row r="7" spans="1:25" ht="21.75" customHeight="1">
      <c r="A7" s="67">
        <v>1</v>
      </c>
      <c r="B7" s="68" t="s">
        <v>18</v>
      </c>
      <c r="C7" s="69" t="s">
        <v>19</v>
      </c>
      <c r="D7" s="543">
        <v>770.9537394204001</v>
      </c>
      <c r="E7" s="543">
        <v>591.251646963452</v>
      </c>
      <c r="F7" s="111">
        <f>F8+F9</f>
        <v>179.70209245694804</v>
      </c>
      <c r="G7" s="71">
        <v>0</v>
      </c>
      <c r="H7" s="131">
        <f>D7-E7</f>
        <v>179.7020924569481</v>
      </c>
      <c r="I7" s="123">
        <v>75</v>
      </c>
      <c r="J7" s="509">
        <v>73.1</v>
      </c>
      <c r="K7" s="117">
        <v>50</v>
      </c>
      <c r="L7" s="117">
        <v>54.7</v>
      </c>
      <c r="M7" s="117"/>
      <c r="N7" s="117"/>
      <c r="O7" s="117"/>
      <c r="P7" s="117"/>
      <c r="Q7" s="117"/>
      <c r="R7" s="117"/>
      <c r="S7" s="73"/>
      <c r="T7" s="74"/>
      <c r="U7" s="75"/>
      <c r="V7" s="4"/>
      <c r="W7" s="4"/>
      <c r="X7" s="4"/>
      <c r="Y7" s="3"/>
    </row>
    <row r="8" spans="1:25" ht="21" customHeight="1">
      <c r="A8" s="76"/>
      <c r="B8" s="77" t="s">
        <v>20</v>
      </c>
      <c r="C8" s="69" t="s">
        <v>19</v>
      </c>
      <c r="D8" s="542">
        <v>421.7917394204</v>
      </c>
      <c r="E8" s="566">
        <v>292.05164696345196</v>
      </c>
      <c r="F8" s="112">
        <f aca="true" t="shared" si="0" ref="F8:F14">D8-E8</f>
        <v>129.74009245694805</v>
      </c>
      <c r="G8" s="79">
        <v>0</v>
      </c>
      <c r="H8" s="100">
        <f>D8-E8</f>
        <v>129.74009245694805</v>
      </c>
      <c r="I8" s="124">
        <v>55</v>
      </c>
      <c r="J8" s="510">
        <v>49.9</v>
      </c>
      <c r="K8" s="115">
        <v>30</v>
      </c>
      <c r="L8" s="115">
        <v>44.7</v>
      </c>
      <c r="M8" s="115"/>
      <c r="N8" s="115"/>
      <c r="O8" s="115"/>
      <c r="P8" s="115"/>
      <c r="Q8" s="115"/>
      <c r="R8" s="115"/>
      <c r="S8" s="80"/>
      <c r="T8" s="79"/>
      <c r="U8" s="81"/>
      <c r="V8" s="4"/>
      <c r="W8" s="4"/>
      <c r="X8" s="4"/>
      <c r="Y8" s="3"/>
    </row>
    <row r="9" spans="1:25" ht="24" customHeight="1" thickBot="1">
      <c r="A9" s="26"/>
      <c r="B9" s="31" t="s">
        <v>21</v>
      </c>
      <c r="C9" s="20" t="s">
        <v>19</v>
      </c>
      <c r="D9" s="565">
        <v>349.16200000000003</v>
      </c>
      <c r="E9" s="530">
        <v>299.20000000000005</v>
      </c>
      <c r="F9" s="62">
        <f t="shared" si="0"/>
        <v>49.96199999999999</v>
      </c>
      <c r="G9" s="56">
        <v>0</v>
      </c>
      <c r="H9" s="101">
        <f>D9-E9</f>
        <v>49.96199999999999</v>
      </c>
      <c r="I9" s="124">
        <v>20</v>
      </c>
      <c r="J9" s="510">
        <v>23.2</v>
      </c>
      <c r="K9" s="115">
        <v>19.96</v>
      </c>
      <c r="L9" s="115">
        <v>10</v>
      </c>
      <c r="M9" s="115"/>
      <c r="N9" s="115"/>
      <c r="O9" s="115"/>
      <c r="P9" s="115"/>
      <c r="Q9" s="115"/>
      <c r="R9" s="115"/>
      <c r="S9" s="37"/>
      <c r="T9" s="38"/>
      <c r="U9" s="39"/>
      <c r="V9" s="4"/>
      <c r="W9" s="4"/>
      <c r="X9" s="4"/>
      <c r="Y9" s="3"/>
    </row>
    <row r="10" spans="1:25" ht="24" customHeight="1" thickBot="1">
      <c r="A10" s="27">
        <v>2</v>
      </c>
      <c r="B10" s="32" t="s">
        <v>22</v>
      </c>
      <c r="C10" s="21" t="s">
        <v>19</v>
      </c>
      <c r="D10" s="545">
        <v>92.51444873044801</v>
      </c>
      <c r="E10" s="546">
        <v>70.95019763561423</v>
      </c>
      <c r="F10" s="65">
        <f t="shared" si="0"/>
        <v>21.56425109483378</v>
      </c>
      <c r="G10" s="57">
        <v>0</v>
      </c>
      <c r="H10" s="64">
        <f>D10-E10</f>
        <v>21.56425109483378</v>
      </c>
      <c r="I10" s="125">
        <v>15</v>
      </c>
      <c r="J10" s="511">
        <v>12.3</v>
      </c>
      <c r="K10" s="118">
        <v>2.56</v>
      </c>
      <c r="L10" s="118">
        <v>4</v>
      </c>
      <c r="M10" s="118"/>
      <c r="N10" s="118"/>
      <c r="O10" s="118"/>
      <c r="P10" s="118"/>
      <c r="Q10" s="118"/>
      <c r="R10" s="118"/>
      <c r="S10" s="41"/>
      <c r="T10" s="42"/>
      <c r="U10" s="43"/>
      <c r="V10" s="4"/>
      <c r="W10" s="4"/>
      <c r="X10" s="4"/>
      <c r="Y10" s="3"/>
    </row>
    <row r="11" spans="1:25" ht="22.5" customHeight="1" thickBot="1">
      <c r="A11" s="28">
        <v>3</v>
      </c>
      <c r="B11" s="33" t="s">
        <v>23</v>
      </c>
      <c r="C11" s="22" t="s">
        <v>19</v>
      </c>
      <c r="D11" s="529">
        <v>20.5</v>
      </c>
      <c r="E11" s="530">
        <v>7.5</v>
      </c>
      <c r="F11" s="36">
        <f t="shared" si="0"/>
        <v>13</v>
      </c>
      <c r="G11" s="56">
        <v>0</v>
      </c>
      <c r="H11" s="61">
        <f aca="true" t="shared" si="1" ref="H11:H27">F11-G11</f>
        <v>13</v>
      </c>
      <c r="I11" s="126">
        <v>8</v>
      </c>
      <c r="J11" s="505">
        <v>7.5</v>
      </c>
      <c r="K11" s="44">
        <v>5</v>
      </c>
      <c r="L11" s="44"/>
      <c r="M11" s="44"/>
      <c r="N11" s="44"/>
      <c r="O11" s="44"/>
      <c r="P11" s="44"/>
      <c r="Q11" s="44"/>
      <c r="R11" s="44"/>
      <c r="S11" s="44"/>
      <c r="T11" s="45"/>
      <c r="U11" s="46"/>
      <c r="V11" s="4"/>
      <c r="W11" s="4"/>
      <c r="X11" s="4"/>
      <c r="Y11" s="3"/>
    </row>
    <row r="12" spans="1:25" ht="22.5" customHeight="1" thickBot="1">
      <c r="A12" s="27">
        <v>4</v>
      </c>
      <c r="B12" s="32" t="s">
        <v>24</v>
      </c>
      <c r="C12" s="21" t="s">
        <v>19</v>
      </c>
      <c r="D12" s="531">
        <v>273.33</v>
      </c>
      <c r="E12" s="521">
        <v>265.95</v>
      </c>
      <c r="F12" s="110">
        <f t="shared" si="0"/>
        <v>7.3799999999999955</v>
      </c>
      <c r="G12" s="57">
        <v>0</v>
      </c>
      <c r="H12" s="105">
        <f>D12-E12</f>
        <v>7.3799999999999955</v>
      </c>
      <c r="I12" s="125">
        <v>7.4</v>
      </c>
      <c r="J12" s="511">
        <v>15.38</v>
      </c>
      <c r="K12" s="118"/>
      <c r="L12" s="118"/>
      <c r="M12" s="118"/>
      <c r="N12" s="118"/>
      <c r="O12" s="118"/>
      <c r="P12" s="118"/>
      <c r="Q12" s="41"/>
      <c r="R12" s="41"/>
      <c r="S12" s="41"/>
      <c r="T12" s="42"/>
      <c r="U12" s="43"/>
      <c r="V12" s="4"/>
      <c r="W12" s="4"/>
      <c r="X12" s="4"/>
      <c r="Y12" s="3"/>
    </row>
    <row r="13" spans="1:25" ht="20.25" customHeight="1" thickBot="1">
      <c r="A13" s="29">
        <v>5</v>
      </c>
      <c r="B13" s="34" t="s">
        <v>25</v>
      </c>
      <c r="C13" s="23" t="s">
        <v>19</v>
      </c>
      <c r="D13" s="567">
        <v>9.915396347099998</v>
      </c>
      <c r="E13" s="568">
        <v>0.15674762569800002</v>
      </c>
      <c r="F13" s="114">
        <f t="shared" si="0"/>
        <v>9.758648721401999</v>
      </c>
      <c r="G13" s="56">
        <v>0</v>
      </c>
      <c r="H13" s="101">
        <f>D13-E13</f>
        <v>9.758648721401999</v>
      </c>
      <c r="I13" s="126">
        <v>8</v>
      </c>
      <c r="J13" s="512">
        <v>8</v>
      </c>
      <c r="K13" s="119">
        <v>1.8</v>
      </c>
      <c r="L13" s="119"/>
      <c r="M13" s="119"/>
      <c r="N13" s="119"/>
      <c r="O13" s="119"/>
      <c r="P13" s="119"/>
      <c r="Q13" s="119"/>
      <c r="R13" s="119"/>
      <c r="S13" s="44"/>
      <c r="T13" s="45"/>
      <c r="U13" s="46"/>
      <c r="V13" s="4"/>
      <c r="W13" s="4"/>
      <c r="X13" s="4"/>
      <c r="Y13" s="3"/>
    </row>
    <row r="14" spans="1:25" ht="19.5" customHeight="1" thickBot="1">
      <c r="A14" s="27">
        <v>6</v>
      </c>
      <c r="B14" s="32" t="s">
        <v>26</v>
      </c>
      <c r="C14" s="21" t="s">
        <v>19</v>
      </c>
      <c r="D14" s="547">
        <v>21.760399420000002</v>
      </c>
      <c r="E14" s="569">
        <v>13.963195425</v>
      </c>
      <c r="F14" s="65">
        <f t="shared" si="0"/>
        <v>7.797203995000002</v>
      </c>
      <c r="G14" s="552">
        <v>0</v>
      </c>
      <c r="H14" s="570">
        <f>D14-E14</f>
        <v>7.797203995000002</v>
      </c>
      <c r="I14" s="125">
        <v>1</v>
      </c>
      <c r="J14" s="511">
        <v>0.75</v>
      </c>
      <c r="K14" s="118">
        <v>1.5</v>
      </c>
      <c r="L14" s="118">
        <v>1.5</v>
      </c>
      <c r="M14" s="118">
        <v>1</v>
      </c>
      <c r="N14" s="118">
        <v>1.4</v>
      </c>
      <c r="O14" s="118">
        <v>1.4</v>
      </c>
      <c r="P14" s="118"/>
      <c r="Q14" s="41"/>
      <c r="R14" s="41"/>
      <c r="S14" s="41"/>
      <c r="T14" s="42"/>
      <c r="U14" s="43"/>
      <c r="V14" s="4"/>
      <c r="W14" s="4"/>
      <c r="X14" s="4"/>
      <c r="Y14" s="3"/>
    </row>
    <row r="15" spans="1:25" ht="22.5" customHeight="1" thickBot="1">
      <c r="A15" s="29">
        <v>7</v>
      </c>
      <c r="B15" s="34" t="s">
        <v>27</v>
      </c>
      <c r="C15" s="23" t="s">
        <v>19</v>
      </c>
      <c r="D15" s="532">
        <v>0.8</v>
      </c>
      <c r="E15" s="533">
        <v>0.4</v>
      </c>
      <c r="F15" s="36">
        <v>0.5</v>
      </c>
      <c r="G15" s="551">
        <v>0</v>
      </c>
      <c r="H15" s="61">
        <f t="shared" si="1"/>
        <v>0.5</v>
      </c>
      <c r="I15" s="126">
        <v>0.3</v>
      </c>
      <c r="J15" s="512">
        <v>0.5</v>
      </c>
      <c r="K15" s="119">
        <v>0.2</v>
      </c>
      <c r="L15" s="119"/>
      <c r="M15" s="44"/>
      <c r="N15" s="44"/>
      <c r="O15" s="44"/>
      <c r="P15" s="44"/>
      <c r="Q15" s="44"/>
      <c r="R15" s="44"/>
      <c r="S15" s="44"/>
      <c r="T15" s="45"/>
      <c r="U15" s="46"/>
      <c r="V15" s="4"/>
      <c r="W15" s="4"/>
      <c r="X15" s="4"/>
      <c r="Y15" s="3"/>
    </row>
    <row r="16" spans="1:25" ht="20.25" customHeight="1" thickBot="1">
      <c r="A16" s="27">
        <v>8</v>
      </c>
      <c r="B16" s="32" t="s">
        <v>28</v>
      </c>
      <c r="C16" s="21" t="s">
        <v>29</v>
      </c>
      <c r="D16" s="546">
        <v>3.51674</v>
      </c>
      <c r="E16" s="541">
        <v>2.6196599999999997</v>
      </c>
      <c r="F16" s="65">
        <f aca="true" t="shared" si="2" ref="F16:F22">D16-E16</f>
        <v>0.8970800000000003</v>
      </c>
      <c r="G16" s="552">
        <v>0</v>
      </c>
      <c r="H16" s="64">
        <f>F16-G16</f>
        <v>0.8970800000000003</v>
      </c>
      <c r="I16" s="127">
        <v>0.1</v>
      </c>
      <c r="J16" s="513">
        <v>0.075</v>
      </c>
      <c r="K16" s="104">
        <v>0.3</v>
      </c>
      <c r="L16" s="104">
        <v>0.3</v>
      </c>
      <c r="M16" s="104">
        <v>0.2</v>
      </c>
      <c r="N16" s="104"/>
      <c r="O16" s="41"/>
      <c r="P16" s="41"/>
      <c r="Q16" s="41"/>
      <c r="R16" s="41"/>
      <c r="S16" s="41"/>
      <c r="T16" s="42"/>
      <c r="U16" s="43"/>
      <c r="V16" s="4"/>
      <c r="W16" s="4"/>
      <c r="X16" s="4"/>
      <c r="Y16" s="3"/>
    </row>
    <row r="17" spans="1:25" ht="21.75" customHeight="1" thickBot="1">
      <c r="A17" s="29">
        <v>9</v>
      </c>
      <c r="B17" s="34" t="s">
        <v>30</v>
      </c>
      <c r="C17" s="23" t="s">
        <v>31</v>
      </c>
      <c r="D17" s="549">
        <v>1030.31</v>
      </c>
      <c r="E17" s="533">
        <v>877.5699999999999</v>
      </c>
      <c r="F17" s="62">
        <f t="shared" si="2"/>
        <v>152.74</v>
      </c>
      <c r="G17" s="551">
        <v>0</v>
      </c>
      <c r="H17" s="63">
        <f t="shared" si="1"/>
        <v>152.74</v>
      </c>
      <c r="I17" s="126">
        <v>85</v>
      </c>
      <c r="J17" s="505">
        <v>83.3</v>
      </c>
      <c r="K17" s="119">
        <f>152.74-85</f>
        <v>67.74000000000001</v>
      </c>
      <c r="L17" s="119"/>
      <c r="M17" s="119"/>
      <c r="N17" s="119"/>
      <c r="O17" s="119"/>
      <c r="P17" s="119"/>
      <c r="Q17" s="44"/>
      <c r="R17" s="44"/>
      <c r="S17" s="44"/>
      <c r="T17" s="45"/>
      <c r="U17" s="46"/>
      <c r="V17" s="4"/>
      <c r="W17" s="4">
        <v>439120</v>
      </c>
      <c r="X17" s="146">
        <v>359460</v>
      </c>
      <c r="Y17" s="147">
        <f>W17-X17</f>
        <v>79660</v>
      </c>
    </row>
    <row r="18" spans="1:25" ht="21" customHeight="1" thickBot="1">
      <c r="A18" s="27">
        <v>10</v>
      </c>
      <c r="B18" s="32" t="s">
        <v>32</v>
      </c>
      <c r="C18" s="21" t="s">
        <v>2</v>
      </c>
      <c r="D18" s="531">
        <v>1567</v>
      </c>
      <c r="E18" s="521">
        <v>0</v>
      </c>
      <c r="F18" s="152">
        <f t="shared" si="2"/>
        <v>1567</v>
      </c>
      <c r="G18" s="57">
        <v>0</v>
      </c>
      <c r="H18" s="60">
        <f t="shared" si="1"/>
        <v>1567</v>
      </c>
      <c r="I18" s="127"/>
      <c r="J18" s="504">
        <v>0</v>
      </c>
      <c r="K18" s="41"/>
      <c r="L18" s="41"/>
      <c r="M18" s="41">
        <v>1000</v>
      </c>
      <c r="N18" s="41">
        <v>567</v>
      </c>
      <c r="O18" s="41"/>
      <c r="P18" s="41"/>
      <c r="Q18" s="41"/>
      <c r="R18" s="41"/>
      <c r="S18" s="41"/>
      <c r="T18" s="42"/>
      <c r="U18" s="43"/>
      <c r="V18" s="4"/>
      <c r="W18" s="4">
        <v>591197.47</v>
      </c>
      <c r="X18" s="146">
        <v>491110.25</v>
      </c>
      <c r="Y18" s="147">
        <f>W18-X18</f>
        <v>100087.21999999997</v>
      </c>
    </row>
    <row r="19" spans="1:25" ht="19.5" customHeight="1" thickBot="1">
      <c r="A19" s="82">
        <v>11</v>
      </c>
      <c r="B19" s="83" t="s">
        <v>33</v>
      </c>
      <c r="C19" s="84" t="s">
        <v>41</v>
      </c>
      <c r="D19" s="561">
        <v>2.0376999999999996</v>
      </c>
      <c r="E19" s="535">
        <v>0</v>
      </c>
      <c r="F19" s="62">
        <f t="shared" si="2"/>
        <v>2.0376999999999996</v>
      </c>
      <c r="G19" s="86">
        <v>0</v>
      </c>
      <c r="H19" s="562">
        <f t="shared" si="1"/>
        <v>2.0376999999999996</v>
      </c>
      <c r="I19" s="128"/>
      <c r="J19" s="506">
        <v>0</v>
      </c>
      <c r="K19" s="88"/>
      <c r="L19" s="88"/>
      <c r="M19" s="88">
        <v>2.04</v>
      </c>
      <c r="N19" s="88"/>
      <c r="O19" s="88"/>
      <c r="P19" s="88"/>
      <c r="Q19" s="88"/>
      <c r="R19" s="88"/>
      <c r="S19" s="88"/>
      <c r="T19" s="86"/>
      <c r="U19" s="89"/>
      <c r="V19" s="4"/>
      <c r="W19" s="4"/>
      <c r="X19" s="4"/>
      <c r="Y19" s="3"/>
    </row>
    <row r="20" spans="1:25" ht="20.25" customHeight="1" thickBot="1">
      <c r="A20" s="27">
        <v>12</v>
      </c>
      <c r="B20" s="32" t="s">
        <v>34</v>
      </c>
      <c r="C20" s="21" t="s">
        <v>35</v>
      </c>
      <c r="D20" s="531">
        <v>502.4</v>
      </c>
      <c r="E20" s="521">
        <v>0</v>
      </c>
      <c r="F20" s="152">
        <f t="shared" si="2"/>
        <v>502.4</v>
      </c>
      <c r="G20" s="42">
        <v>0</v>
      </c>
      <c r="H20" s="97">
        <f t="shared" si="1"/>
        <v>502.4</v>
      </c>
      <c r="I20" s="127"/>
      <c r="J20" s="504">
        <v>0</v>
      </c>
      <c r="K20" s="41">
        <v>200</v>
      </c>
      <c r="L20" s="41">
        <v>200</v>
      </c>
      <c r="M20" s="41">
        <v>102.4</v>
      </c>
      <c r="N20" s="41"/>
      <c r="O20" s="41"/>
      <c r="P20" s="41"/>
      <c r="Q20" s="41"/>
      <c r="R20" s="41"/>
      <c r="S20" s="41"/>
      <c r="T20" s="41"/>
      <c r="U20" s="43"/>
      <c r="V20" s="4"/>
      <c r="W20" s="4"/>
      <c r="X20" s="4"/>
      <c r="Y20" s="3"/>
    </row>
    <row r="21" spans="1:25" ht="24" customHeight="1" thickBot="1">
      <c r="A21" s="91">
        <v>13</v>
      </c>
      <c r="B21" s="92" t="s">
        <v>36</v>
      </c>
      <c r="C21" s="93" t="s">
        <v>2</v>
      </c>
      <c r="D21" s="529">
        <v>220</v>
      </c>
      <c r="E21" s="530">
        <v>0</v>
      </c>
      <c r="F21" s="145">
        <f t="shared" si="2"/>
        <v>220</v>
      </c>
      <c r="G21" s="95">
        <v>0</v>
      </c>
      <c r="H21" s="87">
        <f t="shared" si="1"/>
        <v>220</v>
      </c>
      <c r="I21" s="129"/>
      <c r="J21" s="507">
        <v>0</v>
      </c>
      <c r="K21" s="53"/>
      <c r="L21" s="53"/>
      <c r="M21" s="53">
        <v>220</v>
      </c>
      <c r="N21" s="53"/>
      <c r="O21" s="53"/>
      <c r="P21" s="53"/>
      <c r="Q21" s="53"/>
      <c r="R21" s="53"/>
      <c r="S21" s="53"/>
      <c r="T21" s="95"/>
      <c r="U21" s="96"/>
      <c r="V21" s="4"/>
      <c r="W21" s="4"/>
      <c r="X21" s="4"/>
      <c r="Y21" s="5"/>
    </row>
    <row r="22" spans="1:25" ht="20.25" customHeight="1" thickBot="1">
      <c r="A22" s="27">
        <v>14</v>
      </c>
      <c r="B22" s="32" t="s">
        <v>37</v>
      </c>
      <c r="C22" s="21" t="s">
        <v>2</v>
      </c>
      <c r="D22" s="531">
        <v>208</v>
      </c>
      <c r="E22" s="521">
        <v>0</v>
      </c>
      <c r="F22" s="152">
        <f t="shared" si="2"/>
        <v>208</v>
      </c>
      <c r="G22" s="42">
        <v>0</v>
      </c>
      <c r="H22" s="97">
        <f t="shared" si="1"/>
        <v>208</v>
      </c>
      <c r="I22" s="127"/>
      <c r="J22" s="504">
        <v>0</v>
      </c>
      <c r="K22" s="41"/>
      <c r="L22" s="41"/>
      <c r="M22" s="41">
        <v>208</v>
      </c>
      <c r="N22" s="41"/>
      <c r="O22" s="41"/>
      <c r="P22" s="41"/>
      <c r="Q22" s="41"/>
      <c r="R22" s="41"/>
      <c r="S22" s="41"/>
      <c r="T22" s="41"/>
      <c r="U22" s="43"/>
      <c r="V22" s="4"/>
      <c r="W22" s="4"/>
      <c r="X22" s="4"/>
      <c r="Y22" s="3"/>
    </row>
    <row r="23" spans="1:25" ht="24" customHeight="1" thickBot="1">
      <c r="A23" s="91">
        <v>15</v>
      </c>
      <c r="B23" s="92" t="s">
        <v>38</v>
      </c>
      <c r="C23" s="93" t="s">
        <v>35</v>
      </c>
      <c r="D23" s="529">
        <v>32930</v>
      </c>
      <c r="E23" s="530">
        <v>32930</v>
      </c>
      <c r="F23" s="145">
        <v>32930</v>
      </c>
      <c r="G23" s="95">
        <v>0</v>
      </c>
      <c r="H23" s="87">
        <v>0</v>
      </c>
      <c r="I23" s="129"/>
      <c r="J23" s="507">
        <v>32930</v>
      </c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96"/>
      <c r="V23" s="4"/>
      <c r="W23" s="4"/>
      <c r="X23" s="4"/>
      <c r="Y23" s="3"/>
    </row>
    <row r="24" spans="1:25" ht="32.25" thickBot="1">
      <c r="A24" s="27">
        <v>16</v>
      </c>
      <c r="B24" s="32" t="s">
        <v>39</v>
      </c>
      <c r="C24" s="21" t="s">
        <v>2</v>
      </c>
      <c r="D24" s="531">
        <v>244</v>
      </c>
      <c r="E24" s="521">
        <v>0</v>
      </c>
      <c r="F24" s="152">
        <v>244</v>
      </c>
      <c r="G24" s="57">
        <v>0</v>
      </c>
      <c r="H24" s="97">
        <f t="shared" si="1"/>
        <v>244</v>
      </c>
      <c r="I24" s="127"/>
      <c r="J24" s="504">
        <v>0</v>
      </c>
      <c r="K24" s="41"/>
      <c r="L24" s="41"/>
      <c r="M24" s="41">
        <v>244</v>
      </c>
      <c r="N24" s="41"/>
      <c r="O24" s="41"/>
      <c r="P24" s="41"/>
      <c r="Q24" s="41"/>
      <c r="R24" s="41"/>
      <c r="S24" s="41"/>
      <c r="T24" s="41"/>
      <c r="U24" s="43"/>
      <c r="V24" s="4"/>
      <c r="W24" s="4"/>
      <c r="X24" s="4"/>
      <c r="Y24" s="3"/>
    </row>
    <row r="25" spans="1:25" ht="22.5" customHeight="1" thickBot="1">
      <c r="A25" s="28">
        <v>17</v>
      </c>
      <c r="B25" s="33" t="s">
        <v>40</v>
      </c>
      <c r="C25" s="22" t="s">
        <v>41</v>
      </c>
      <c r="D25" s="536">
        <v>138.52</v>
      </c>
      <c r="E25" s="523">
        <v>0</v>
      </c>
      <c r="F25" s="148">
        <f>D25-E25</f>
        <v>138.52</v>
      </c>
      <c r="G25" s="137">
        <v>0</v>
      </c>
      <c r="H25" s="135">
        <f t="shared" si="1"/>
        <v>138.52</v>
      </c>
      <c r="I25" s="126"/>
      <c r="J25" s="505">
        <v>0</v>
      </c>
      <c r="K25" s="44"/>
      <c r="L25" s="119"/>
      <c r="M25" s="119">
        <f>$H$25/2</f>
        <v>69.26</v>
      </c>
      <c r="N25" s="119">
        <f>$H$25/2</f>
        <v>69.26</v>
      </c>
      <c r="O25" s="44"/>
      <c r="P25" s="44"/>
      <c r="Q25" s="44"/>
      <c r="R25" s="44"/>
      <c r="S25" s="44"/>
      <c r="T25" s="44"/>
      <c r="U25" s="46"/>
      <c r="V25" s="4"/>
      <c r="W25" s="4"/>
      <c r="X25" s="4"/>
      <c r="Y25" s="3"/>
    </row>
    <row r="26" spans="1:25" ht="23.25" customHeight="1" thickBot="1">
      <c r="A26" s="91">
        <v>18</v>
      </c>
      <c r="B26" s="92" t="s">
        <v>42</v>
      </c>
      <c r="C26" s="93" t="s">
        <v>41</v>
      </c>
      <c r="D26" s="529"/>
      <c r="E26" s="530"/>
      <c r="F26" s="150"/>
      <c r="G26" s="95"/>
      <c r="H26" s="87"/>
      <c r="I26" s="129"/>
      <c r="J26" s="507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96"/>
      <c r="V26" s="4"/>
      <c r="W26" s="4"/>
      <c r="X26" s="4"/>
      <c r="Y26" s="3"/>
    </row>
    <row r="27" spans="1:25" ht="21" customHeight="1" thickBot="1">
      <c r="A27" s="27">
        <v>19</v>
      </c>
      <c r="B27" s="32" t="s">
        <v>43</v>
      </c>
      <c r="C27" s="21" t="s">
        <v>19</v>
      </c>
      <c r="D27" s="547">
        <v>0.34640273250000003</v>
      </c>
      <c r="E27" s="569">
        <v>0.00516821085</v>
      </c>
      <c r="F27" s="65">
        <f>D27-E27</f>
        <v>0.34123452165</v>
      </c>
      <c r="G27" s="149">
        <v>0</v>
      </c>
      <c r="H27" s="452">
        <f t="shared" si="1"/>
        <v>0.34123452165</v>
      </c>
      <c r="I27" s="127"/>
      <c r="J27" s="504">
        <v>0</v>
      </c>
      <c r="K27" s="41"/>
      <c r="L27" s="41">
        <v>0.1</v>
      </c>
      <c r="M27" s="41">
        <v>0.1</v>
      </c>
      <c r="N27" s="104">
        <f>H27-L27-M27</f>
        <v>0.14123452165</v>
      </c>
      <c r="O27" s="41"/>
      <c r="P27" s="41"/>
      <c r="Q27" s="41"/>
      <c r="R27" s="41"/>
      <c r="S27" s="41"/>
      <c r="T27" s="41"/>
      <c r="U27" s="43"/>
      <c r="V27" s="4"/>
      <c r="W27" s="4"/>
      <c r="X27" s="4"/>
      <c r="Y27" s="3"/>
    </row>
    <row r="28" spans="1:25" ht="25.5" customHeight="1" thickBot="1">
      <c r="A28" s="91">
        <v>20</v>
      </c>
      <c r="B28" s="92" t="s">
        <v>44</v>
      </c>
      <c r="C28" s="93" t="s">
        <v>45</v>
      </c>
      <c r="D28" s="529"/>
      <c r="E28" s="530"/>
      <c r="F28" s="154"/>
      <c r="G28" s="153"/>
      <c r="H28" s="87"/>
      <c r="I28" s="129"/>
      <c r="J28" s="507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96"/>
      <c r="V28" s="4"/>
      <c r="W28" s="4"/>
      <c r="X28" s="4"/>
      <c r="Y28" s="3"/>
    </row>
    <row r="29" spans="1:25" ht="20.25" customHeight="1" thickBot="1">
      <c r="A29" s="28">
        <v>21</v>
      </c>
      <c r="B29" s="33" t="s">
        <v>46</v>
      </c>
      <c r="C29" s="22" t="s">
        <v>19</v>
      </c>
      <c r="D29" s="536"/>
      <c r="E29" s="523"/>
      <c r="F29" s="151"/>
      <c r="G29" s="45"/>
      <c r="H29" s="98"/>
      <c r="I29" s="126"/>
      <c r="J29" s="505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6"/>
      <c r="V29" s="4"/>
      <c r="W29" s="4"/>
      <c r="X29" s="4"/>
      <c r="Y29" s="3"/>
    </row>
    <row r="30" spans="1:25" ht="20.25" customHeight="1" thickBot="1">
      <c r="A30" s="30">
        <v>22</v>
      </c>
      <c r="B30" s="35" t="s">
        <v>47</v>
      </c>
      <c r="C30" s="24" t="s">
        <v>19</v>
      </c>
      <c r="D30" s="537"/>
      <c r="E30" s="538"/>
      <c r="F30" s="152"/>
      <c r="G30" s="58"/>
      <c r="H30" s="90"/>
      <c r="I30" s="130"/>
      <c r="J30" s="508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1"/>
      <c r="V30" s="4"/>
      <c r="W30" s="4"/>
      <c r="X30" s="4"/>
      <c r="Y30" s="3"/>
    </row>
    <row r="31" spans="1:24" ht="27" customHeight="1" thickBot="1">
      <c r="A31" s="28">
        <v>23</v>
      </c>
      <c r="B31" s="33" t="s">
        <v>48</v>
      </c>
      <c r="C31" s="22" t="s">
        <v>41</v>
      </c>
      <c r="D31" s="536"/>
      <c r="E31" s="523"/>
      <c r="F31" s="154"/>
      <c r="G31" s="155"/>
      <c r="H31" s="98"/>
      <c r="I31" s="126"/>
      <c r="J31" s="505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6"/>
      <c r="V31" s="4"/>
      <c r="W31" s="4"/>
      <c r="X31" s="4"/>
    </row>
    <row r="32" spans="1:24" ht="15">
      <c r="A32" s="6"/>
      <c r="B32" s="7"/>
      <c r="C32" s="8"/>
      <c r="D32" s="8"/>
      <c r="E32" s="8"/>
      <c r="F32" s="9"/>
      <c r="G32" s="10"/>
      <c r="H32" s="10"/>
      <c r="I32" s="9"/>
      <c r="J32" s="11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6" s="170" customFormat="1" ht="33.75" customHeight="1">
      <c r="A33" s="770" t="s">
        <v>59</v>
      </c>
      <c r="B33" s="770"/>
      <c r="C33" s="770"/>
      <c r="D33" s="770"/>
      <c r="E33" s="770"/>
      <c r="F33" s="770"/>
      <c r="G33" s="770"/>
      <c r="H33" s="770"/>
      <c r="I33" s="167"/>
      <c r="J33" s="167"/>
      <c r="K33" s="167"/>
      <c r="L33" s="169" t="s">
        <v>60</v>
      </c>
      <c r="N33" s="169"/>
      <c r="P33" s="169"/>
      <c r="Q33" s="169"/>
      <c r="S33" s="169"/>
      <c r="T33" s="169"/>
      <c r="U33" s="169"/>
      <c r="V33" s="169"/>
      <c r="W33" s="169"/>
      <c r="X33" s="166"/>
      <c r="Y33" s="166"/>
      <c r="Z33" s="166"/>
    </row>
    <row r="34" spans="1:24" ht="15">
      <c r="A34" s="6"/>
      <c r="B34" s="7"/>
      <c r="C34" s="8"/>
      <c r="D34" s="8"/>
      <c r="E34" s="8"/>
      <c r="F34" s="9"/>
      <c r="G34" s="10"/>
      <c r="H34" s="10"/>
      <c r="I34" s="9"/>
      <c r="J34" s="11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2:8" ht="13.5">
      <c r="B35" s="732"/>
      <c r="C35" s="732"/>
      <c r="D35" s="732"/>
      <c r="E35" s="732"/>
      <c r="F35" s="732"/>
      <c r="G35" s="732"/>
      <c r="H35" s="732"/>
    </row>
  </sheetData>
  <sheetProtection selectLockedCells="1" selectUnlockedCells="1"/>
  <mergeCells count="12">
    <mergeCell ref="A1:AA2"/>
    <mergeCell ref="A4:A5"/>
    <mergeCell ref="B4:B5"/>
    <mergeCell ref="C4:C5"/>
    <mergeCell ref="F4:G4"/>
    <mergeCell ref="H4:H5"/>
    <mergeCell ref="I4:U4"/>
    <mergeCell ref="I5:J5"/>
    <mergeCell ref="D4:D5"/>
    <mergeCell ref="E4:E5"/>
    <mergeCell ref="B35:H35"/>
    <mergeCell ref="A33:H33"/>
  </mergeCells>
  <printOptions horizontalCentered="1" verticalCentered="1"/>
  <pageMargins left="0.4330708661417323" right="0.15748031496062992" top="0.42" bottom="0.38" header="0.42" footer="0.27"/>
  <pageSetup fitToHeight="1" fitToWidth="1" horizontalDpi="300" verticalDpi="300" orientation="landscape" paperSize="9" scale="6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"/>
  <sheetViews>
    <sheetView view="pageBreakPreview" zoomScale="85" zoomScaleNormal="85" zoomScaleSheetLayoutView="85" zoomScalePageLayoutView="0" workbookViewId="0" topLeftCell="A1">
      <selection activeCell="H31" sqref="H31"/>
    </sheetView>
  </sheetViews>
  <sheetFormatPr defaultColWidth="9.00390625" defaultRowHeight="12.75"/>
  <cols>
    <col min="1" max="1" width="4.00390625" style="0" customWidth="1"/>
    <col min="2" max="2" width="36.125" style="0" customWidth="1"/>
    <col min="4" max="4" width="19.125" style="0" customWidth="1"/>
    <col min="5" max="5" width="16.375" style="0" customWidth="1"/>
    <col min="6" max="6" width="9.25390625" style="0" hidden="1" customWidth="1"/>
    <col min="7" max="7" width="12.25390625" style="0" hidden="1" customWidth="1"/>
    <col min="8" max="8" width="12.25390625" style="0" customWidth="1"/>
    <col min="17" max="17" width="8.75390625" style="0" customWidth="1"/>
    <col min="21" max="21" width="9.75390625" style="0" customWidth="1"/>
  </cols>
  <sheetData>
    <row r="1" spans="1:27" ht="13.5" customHeight="1">
      <c r="A1" s="768" t="s">
        <v>56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  <c r="X1" s="768"/>
      <c r="Y1" s="768"/>
      <c r="Z1" s="768"/>
      <c r="AA1" s="768"/>
    </row>
    <row r="2" spans="1:27" ht="33" customHeight="1">
      <c r="A2" s="768"/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8"/>
      <c r="X2" s="768"/>
      <c r="Y2" s="768"/>
      <c r="Z2" s="768"/>
      <c r="AA2" s="768"/>
    </row>
    <row r="3" spans="18:21" ht="14.25" customHeight="1" thickBot="1">
      <c r="R3" s="594" t="s">
        <v>81</v>
      </c>
      <c r="S3" s="595"/>
      <c r="T3" s="520" t="s">
        <v>85</v>
      </c>
      <c r="U3" s="595"/>
    </row>
    <row r="4" spans="1:24" ht="31.5" customHeight="1" thickBot="1">
      <c r="A4" s="777" t="s">
        <v>6</v>
      </c>
      <c r="B4" s="766" t="s">
        <v>7</v>
      </c>
      <c r="C4" s="779" t="s">
        <v>8</v>
      </c>
      <c r="D4" s="764" t="s">
        <v>83</v>
      </c>
      <c r="E4" s="766" t="s">
        <v>84</v>
      </c>
      <c r="F4" s="771" t="s">
        <v>50</v>
      </c>
      <c r="G4" s="772"/>
      <c r="H4" s="730" t="s">
        <v>82</v>
      </c>
      <c r="I4" s="773" t="s">
        <v>9</v>
      </c>
      <c r="J4" s="774"/>
      <c r="K4" s="774"/>
      <c r="L4" s="774"/>
      <c r="M4" s="774"/>
      <c r="N4" s="774"/>
      <c r="O4" s="774"/>
      <c r="P4" s="774"/>
      <c r="Q4" s="774"/>
      <c r="R4" s="774"/>
      <c r="S4" s="774"/>
      <c r="T4" s="775"/>
      <c r="U4" s="776"/>
      <c r="V4" s="1"/>
      <c r="W4" s="1"/>
      <c r="X4" s="1"/>
    </row>
    <row r="5" spans="1:25" ht="31.5" customHeight="1" thickBot="1">
      <c r="A5" s="778"/>
      <c r="B5" s="767"/>
      <c r="C5" s="780"/>
      <c r="D5" s="765"/>
      <c r="E5" s="767"/>
      <c r="F5" s="16" t="s">
        <v>49</v>
      </c>
      <c r="G5" s="54" t="s">
        <v>10</v>
      </c>
      <c r="H5" s="731"/>
      <c r="I5" s="757" t="s">
        <v>4</v>
      </c>
      <c r="J5" s="769"/>
      <c r="K5" s="121" t="s">
        <v>3</v>
      </c>
      <c r="L5" s="121" t="s">
        <v>0</v>
      </c>
      <c r="M5" s="121" t="s">
        <v>1</v>
      </c>
      <c r="N5" s="121" t="s">
        <v>5</v>
      </c>
      <c r="O5" s="121" t="s">
        <v>11</v>
      </c>
      <c r="P5" s="121" t="s">
        <v>12</v>
      </c>
      <c r="Q5" s="121" t="s">
        <v>13</v>
      </c>
      <c r="R5" s="121" t="s">
        <v>14</v>
      </c>
      <c r="S5" s="121" t="s">
        <v>15</v>
      </c>
      <c r="T5" s="121" t="s">
        <v>16</v>
      </c>
      <c r="U5" s="122" t="s">
        <v>17</v>
      </c>
      <c r="V5" s="2"/>
      <c r="W5" s="2"/>
      <c r="X5" s="2"/>
      <c r="Y5" s="3"/>
    </row>
    <row r="6" spans="1:25" ht="16.5" thickBot="1">
      <c r="A6" s="25"/>
      <c r="B6" s="19"/>
      <c r="C6" s="19"/>
      <c r="D6" s="524"/>
      <c r="E6" s="19"/>
      <c r="F6" s="18"/>
      <c r="G6" s="55"/>
      <c r="H6" s="22"/>
      <c r="I6" s="415" t="s">
        <v>49</v>
      </c>
      <c r="J6" s="474" t="s">
        <v>10</v>
      </c>
      <c r="K6" s="13"/>
      <c r="L6" s="14"/>
      <c r="M6" s="13"/>
      <c r="N6" s="14"/>
      <c r="O6" s="13"/>
      <c r="P6" s="14"/>
      <c r="Q6" s="13"/>
      <c r="R6" s="14"/>
      <c r="S6" s="13"/>
      <c r="T6" s="17"/>
      <c r="U6" s="15"/>
      <c r="V6" s="2"/>
      <c r="W6" s="2"/>
      <c r="X6" s="2"/>
      <c r="Y6" s="3"/>
    </row>
    <row r="7" spans="1:25" ht="21.75" customHeight="1">
      <c r="A7" s="67">
        <v>1</v>
      </c>
      <c r="B7" s="68" t="s">
        <v>18</v>
      </c>
      <c r="C7" s="107" t="s">
        <v>19</v>
      </c>
      <c r="D7" s="543">
        <v>774.5037303008</v>
      </c>
      <c r="E7" s="544">
        <v>644.01632554</v>
      </c>
      <c r="F7" s="555">
        <f>F8+F9</f>
        <v>130.4874047607999</v>
      </c>
      <c r="G7" s="563">
        <v>0</v>
      </c>
      <c r="H7" s="113">
        <f>F7-G7</f>
        <v>130.4874047607999</v>
      </c>
      <c r="I7" s="144">
        <v>31.48</v>
      </c>
      <c r="J7" s="514">
        <v>73.1</v>
      </c>
      <c r="K7" s="144">
        <f>K8+K9</f>
        <v>31.477851190199985</v>
      </c>
      <c r="L7" s="164">
        <f>L8+L9</f>
        <v>31.477851190199985</v>
      </c>
      <c r="M7" s="165">
        <v>31.48</v>
      </c>
      <c r="N7" s="117">
        <v>4.567404760799903</v>
      </c>
      <c r="O7" s="117"/>
      <c r="P7" s="117"/>
      <c r="Q7" s="117"/>
      <c r="R7" s="117"/>
      <c r="S7" s="73"/>
      <c r="T7" s="74"/>
      <c r="U7" s="75"/>
      <c r="V7" s="4"/>
      <c r="W7" s="4"/>
      <c r="X7" s="4"/>
      <c r="Y7" s="3"/>
    </row>
    <row r="8" spans="1:25" ht="21" customHeight="1">
      <c r="A8" s="76"/>
      <c r="B8" s="77" t="s">
        <v>20</v>
      </c>
      <c r="C8" s="163" t="s">
        <v>19</v>
      </c>
      <c r="D8" s="542">
        <v>451.78573030079997</v>
      </c>
      <c r="E8" s="554">
        <v>325.87432554000003</v>
      </c>
      <c r="F8" s="556">
        <f>'[1]по ЩМА (3)'!$H$20</f>
        <v>125.91140476079994</v>
      </c>
      <c r="G8" s="564">
        <v>0</v>
      </c>
      <c r="H8" s="100">
        <f>F8-G8</f>
        <v>125.91140476079994</v>
      </c>
      <c r="I8" s="138">
        <v>40</v>
      </c>
      <c r="J8" s="515">
        <v>49.9</v>
      </c>
      <c r="K8" s="139">
        <f>$H$8/4</f>
        <v>31.477851190199985</v>
      </c>
      <c r="L8" s="139">
        <f>$H$8/4</f>
        <v>31.477851190199985</v>
      </c>
      <c r="M8" s="112">
        <v>22.91</v>
      </c>
      <c r="N8" s="115"/>
      <c r="O8" s="115"/>
      <c r="P8" s="115"/>
      <c r="Q8" s="115"/>
      <c r="R8" s="115"/>
      <c r="S8" s="80"/>
      <c r="T8" s="79"/>
      <c r="U8" s="81"/>
      <c r="V8" s="4"/>
      <c r="W8" s="4"/>
      <c r="X8" s="4"/>
      <c r="Y8" s="3"/>
    </row>
    <row r="9" spans="1:25" ht="24" customHeight="1" thickBot="1">
      <c r="A9" s="26"/>
      <c r="B9" s="31" t="s">
        <v>21</v>
      </c>
      <c r="C9" s="109" t="s">
        <v>19</v>
      </c>
      <c r="D9" s="529">
        <v>322.718</v>
      </c>
      <c r="E9" s="529">
        <v>318.14200000000005</v>
      </c>
      <c r="F9" s="557">
        <f>D9-E9</f>
        <v>4.575999999999965</v>
      </c>
      <c r="G9" s="558">
        <v>0</v>
      </c>
      <c r="H9" s="63">
        <f>F9-G9</f>
        <v>4.575999999999965</v>
      </c>
      <c r="I9" s="124"/>
      <c r="J9" s="510">
        <v>23.2</v>
      </c>
      <c r="K9" s="115"/>
      <c r="L9" s="115"/>
      <c r="M9" s="115"/>
      <c r="N9" s="115"/>
      <c r="O9" s="115"/>
      <c r="P9" s="115"/>
      <c r="Q9" s="115"/>
      <c r="R9" s="115"/>
      <c r="S9" s="37"/>
      <c r="T9" s="38"/>
      <c r="U9" s="39"/>
      <c r="V9" s="4"/>
      <c r="W9" s="4"/>
      <c r="X9" s="4"/>
      <c r="Y9" s="3"/>
    </row>
    <row r="10" spans="1:25" ht="24" customHeight="1" thickBot="1">
      <c r="A10" s="27">
        <v>2</v>
      </c>
      <c r="B10" s="32" t="s">
        <v>22</v>
      </c>
      <c r="C10" s="21" t="s">
        <v>19</v>
      </c>
      <c r="D10" s="546">
        <v>92.940447636096</v>
      </c>
      <c r="E10" s="546">
        <v>77.2819590648</v>
      </c>
      <c r="F10" s="559">
        <f>D10-E10</f>
        <v>15.65848857129599</v>
      </c>
      <c r="G10" s="560">
        <v>0</v>
      </c>
      <c r="H10" s="64">
        <f aca="true" t="shared" si="0" ref="H10:H27">F10-G10</f>
        <v>15.65848857129599</v>
      </c>
      <c r="I10" s="118">
        <v>12.3</v>
      </c>
      <c r="J10" s="511">
        <v>12.3</v>
      </c>
      <c r="K10" s="118">
        <v>3.36</v>
      </c>
      <c r="L10" s="118"/>
      <c r="M10" s="118"/>
      <c r="N10" s="118"/>
      <c r="O10" s="118"/>
      <c r="P10" s="118"/>
      <c r="Q10" s="118"/>
      <c r="R10" s="118"/>
      <c r="S10" s="41"/>
      <c r="T10" s="42"/>
      <c r="U10" s="43"/>
      <c r="V10" s="4"/>
      <c r="W10" s="4"/>
      <c r="X10" s="4"/>
      <c r="Y10" s="3"/>
    </row>
    <row r="11" spans="1:25" ht="22.5" customHeight="1" thickBot="1">
      <c r="A11" s="28">
        <v>3</v>
      </c>
      <c r="B11" s="33" t="s">
        <v>23</v>
      </c>
      <c r="C11" s="22" t="s">
        <v>19</v>
      </c>
      <c r="D11" s="529"/>
      <c r="E11" s="530"/>
      <c r="F11" s="36">
        <v>0</v>
      </c>
      <c r="G11" s="56">
        <v>0</v>
      </c>
      <c r="H11" s="61">
        <f t="shared" si="0"/>
        <v>0</v>
      </c>
      <c r="I11" s="126"/>
      <c r="J11" s="505">
        <v>7.5</v>
      </c>
      <c r="K11" s="44"/>
      <c r="L11" s="44"/>
      <c r="M11" s="44"/>
      <c r="N11" s="44"/>
      <c r="O11" s="44"/>
      <c r="P11" s="44"/>
      <c r="Q11" s="44"/>
      <c r="R11" s="44"/>
      <c r="S11" s="44"/>
      <c r="T11" s="45"/>
      <c r="U11" s="46"/>
      <c r="V11" s="4"/>
      <c r="W11" s="4"/>
      <c r="X11" s="4"/>
      <c r="Y11" s="3"/>
    </row>
    <row r="12" spans="1:25" ht="22.5" customHeight="1" thickBot="1">
      <c r="A12" s="27">
        <v>4</v>
      </c>
      <c r="B12" s="32" t="s">
        <v>24</v>
      </c>
      <c r="C12" s="21" t="s">
        <v>19</v>
      </c>
      <c r="D12" s="531">
        <v>205.264</v>
      </c>
      <c r="E12" s="521">
        <v>181.45600000000002</v>
      </c>
      <c r="F12" s="110">
        <f>D12-E12</f>
        <v>23.807999999999993</v>
      </c>
      <c r="G12" s="57">
        <v>0</v>
      </c>
      <c r="H12" s="64">
        <f t="shared" si="0"/>
        <v>23.807999999999993</v>
      </c>
      <c r="I12" s="125">
        <v>15</v>
      </c>
      <c r="J12" s="511">
        <v>15.6</v>
      </c>
      <c r="K12" s="118">
        <v>8.81</v>
      </c>
      <c r="L12" s="118"/>
      <c r="M12" s="118"/>
      <c r="N12" s="118"/>
      <c r="O12" s="118"/>
      <c r="P12" s="118"/>
      <c r="Q12" s="41"/>
      <c r="R12" s="41"/>
      <c r="S12" s="41"/>
      <c r="T12" s="42"/>
      <c r="U12" s="43"/>
      <c r="V12" s="4"/>
      <c r="W12" s="4"/>
      <c r="X12" s="4"/>
      <c r="Y12" s="3"/>
    </row>
    <row r="13" spans="1:25" ht="20.25" customHeight="1" thickBot="1">
      <c r="A13" s="29">
        <v>5</v>
      </c>
      <c r="B13" s="34" t="s">
        <v>25</v>
      </c>
      <c r="C13" s="23" t="s">
        <v>19</v>
      </c>
      <c r="D13" s="549">
        <v>11.1314329842</v>
      </c>
      <c r="E13" s="550">
        <v>0.08011710000000001</v>
      </c>
      <c r="F13" s="62">
        <f>D13-E13</f>
        <v>11.0513158842</v>
      </c>
      <c r="G13" s="551">
        <v>0</v>
      </c>
      <c r="H13" s="63">
        <f t="shared" si="0"/>
        <v>11.0513158842</v>
      </c>
      <c r="I13" s="126">
        <v>8</v>
      </c>
      <c r="J13" s="512">
        <v>8</v>
      </c>
      <c r="K13" s="119">
        <v>3.05</v>
      </c>
      <c r="L13" s="119"/>
      <c r="M13" s="119"/>
      <c r="N13" s="119"/>
      <c r="O13" s="119"/>
      <c r="P13" s="119"/>
      <c r="Q13" s="119"/>
      <c r="R13" s="119"/>
      <c r="S13" s="44"/>
      <c r="T13" s="45"/>
      <c r="U13" s="46"/>
      <c r="V13" s="4"/>
      <c r="W13" s="4"/>
      <c r="X13" s="4"/>
      <c r="Y13" s="3"/>
    </row>
    <row r="14" spans="1:25" ht="19.5" customHeight="1" thickBot="1">
      <c r="A14" s="27">
        <v>6</v>
      </c>
      <c r="B14" s="32" t="s">
        <v>26</v>
      </c>
      <c r="C14" s="21" t="s">
        <v>19</v>
      </c>
      <c r="D14" s="546">
        <v>23.551838590000003</v>
      </c>
      <c r="E14" s="541">
        <v>15.599892437300001</v>
      </c>
      <c r="F14" s="65">
        <f>D14-E14</f>
        <v>7.9519461527000015</v>
      </c>
      <c r="G14" s="552">
        <v>0</v>
      </c>
      <c r="H14" s="64">
        <f t="shared" si="0"/>
        <v>7.9519461527000015</v>
      </c>
      <c r="I14" s="125">
        <v>1</v>
      </c>
      <c r="J14" s="511">
        <v>0.75</v>
      </c>
      <c r="K14" s="118">
        <v>1</v>
      </c>
      <c r="L14" s="118">
        <v>1</v>
      </c>
      <c r="M14" s="118">
        <v>1.5</v>
      </c>
      <c r="N14" s="118">
        <v>1.5</v>
      </c>
      <c r="O14" s="118">
        <v>1.95</v>
      </c>
      <c r="P14" s="118"/>
      <c r="Q14" s="41"/>
      <c r="R14" s="41"/>
      <c r="S14" s="41"/>
      <c r="T14" s="42"/>
      <c r="U14" s="43"/>
      <c r="V14" s="4"/>
      <c r="W14" s="4"/>
      <c r="X14" s="4"/>
      <c r="Y14" s="3"/>
    </row>
    <row r="15" spans="1:25" ht="22.5" customHeight="1" thickBot="1">
      <c r="A15" s="29">
        <v>7</v>
      </c>
      <c r="B15" s="34" t="s">
        <v>27</v>
      </c>
      <c r="C15" s="23" t="s">
        <v>19</v>
      </c>
      <c r="D15" s="532">
        <v>0.75</v>
      </c>
      <c r="E15" s="533">
        <v>0.45</v>
      </c>
      <c r="F15" s="36">
        <f>D15-E15</f>
        <v>0.3</v>
      </c>
      <c r="G15" s="551">
        <v>0</v>
      </c>
      <c r="H15" s="61">
        <f t="shared" si="0"/>
        <v>0.3</v>
      </c>
      <c r="I15" s="126">
        <v>0.1</v>
      </c>
      <c r="J15" s="512">
        <v>0.1</v>
      </c>
      <c r="K15" s="119">
        <v>0.1</v>
      </c>
      <c r="L15" s="119">
        <v>0.1</v>
      </c>
      <c r="M15" s="44"/>
      <c r="N15" s="44"/>
      <c r="O15" s="44"/>
      <c r="P15" s="44"/>
      <c r="Q15" s="44"/>
      <c r="R15" s="44"/>
      <c r="S15" s="44"/>
      <c r="T15" s="45"/>
      <c r="U15" s="46"/>
      <c r="V15" s="4"/>
      <c r="W15" s="4"/>
      <c r="X15" s="4"/>
      <c r="Y15" s="3"/>
    </row>
    <row r="16" spans="1:25" ht="20.25" customHeight="1" thickBot="1">
      <c r="A16" s="27">
        <v>8</v>
      </c>
      <c r="B16" s="32" t="s">
        <v>28</v>
      </c>
      <c r="C16" s="21" t="s">
        <v>29</v>
      </c>
      <c r="D16" s="546">
        <v>2.3392700000000004</v>
      </c>
      <c r="E16" s="541">
        <v>1.74081</v>
      </c>
      <c r="F16" s="65">
        <f>D16-E16</f>
        <v>0.5984600000000004</v>
      </c>
      <c r="G16" s="552">
        <v>0</v>
      </c>
      <c r="H16" s="64">
        <f t="shared" si="0"/>
        <v>0.5984600000000004</v>
      </c>
      <c r="I16" s="127">
        <v>0.2</v>
      </c>
      <c r="J16" s="513">
        <v>0.2</v>
      </c>
      <c r="K16" s="104">
        <v>0.2</v>
      </c>
      <c r="L16" s="104">
        <v>0.2</v>
      </c>
      <c r="M16" s="104"/>
      <c r="N16" s="104"/>
      <c r="O16" s="41"/>
      <c r="P16" s="41"/>
      <c r="Q16" s="41"/>
      <c r="R16" s="41"/>
      <c r="S16" s="41"/>
      <c r="T16" s="42"/>
      <c r="U16" s="43"/>
      <c r="V16" s="4"/>
      <c r="W16" s="4"/>
      <c r="X16" s="4"/>
      <c r="Y16" s="3"/>
    </row>
    <row r="17" spans="1:25" ht="21.75" customHeight="1" thickBot="1">
      <c r="A17" s="29">
        <v>9</v>
      </c>
      <c r="B17" s="34" t="s">
        <v>30</v>
      </c>
      <c r="C17" s="23" t="s">
        <v>31</v>
      </c>
      <c r="D17" s="532"/>
      <c r="E17" s="533"/>
      <c r="F17" s="36"/>
      <c r="G17" s="56">
        <v>0</v>
      </c>
      <c r="H17" s="63"/>
      <c r="I17" s="126"/>
      <c r="J17" s="505"/>
      <c r="K17" s="119"/>
      <c r="L17" s="119"/>
      <c r="M17" s="119"/>
      <c r="N17" s="119"/>
      <c r="O17" s="119"/>
      <c r="P17" s="119"/>
      <c r="Q17" s="44"/>
      <c r="R17" s="44"/>
      <c r="S17" s="44"/>
      <c r="T17" s="45"/>
      <c r="U17" s="46"/>
      <c r="V17" s="4"/>
      <c r="W17" s="4"/>
      <c r="X17" s="4"/>
      <c r="Y17" s="3"/>
    </row>
    <row r="18" spans="1:25" ht="21" customHeight="1" thickBot="1">
      <c r="A18" s="27">
        <v>10</v>
      </c>
      <c r="B18" s="32" t="s">
        <v>32</v>
      </c>
      <c r="C18" s="21" t="s">
        <v>2</v>
      </c>
      <c r="D18" s="531">
        <v>1511</v>
      </c>
      <c r="E18" s="521">
        <v>0</v>
      </c>
      <c r="F18" s="152">
        <f>D18-E18</f>
        <v>1511</v>
      </c>
      <c r="G18" s="57">
        <v>0</v>
      </c>
      <c r="H18" s="60">
        <f t="shared" si="0"/>
        <v>1511</v>
      </c>
      <c r="I18" s="127"/>
      <c r="J18" s="504">
        <v>0</v>
      </c>
      <c r="K18" s="41"/>
      <c r="L18" s="41"/>
      <c r="M18" s="41">
        <v>500</v>
      </c>
      <c r="N18" s="41">
        <v>500</v>
      </c>
      <c r="O18" s="41">
        <v>511</v>
      </c>
      <c r="P18" s="41"/>
      <c r="Q18" s="41"/>
      <c r="R18" s="41"/>
      <c r="S18" s="41"/>
      <c r="T18" s="42"/>
      <c r="U18" s="43"/>
      <c r="V18" s="4"/>
      <c r="W18" s="4"/>
      <c r="X18" s="4"/>
      <c r="Y18" s="3"/>
    </row>
    <row r="19" spans="1:25" ht="19.5" customHeight="1" thickBot="1">
      <c r="A19" s="82">
        <v>11</v>
      </c>
      <c r="B19" s="83" t="s">
        <v>33</v>
      </c>
      <c r="C19" s="84" t="s">
        <v>41</v>
      </c>
      <c r="D19" s="561">
        <v>4.29</v>
      </c>
      <c r="E19" s="535">
        <v>0</v>
      </c>
      <c r="F19" s="62">
        <f>D19-E19</f>
        <v>4.29</v>
      </c>
      <c r="G19" s="86">
        <v>0</v>
      </c>
      <c r="H19" s="562">
        <f t="shared" si="0"/>
        <v>4.29</v>
      </c>
      <c r="I19" s="128"/>
      <c r="J19" s="506">
        <v>0</v>
      </c>
      <c r="K19" s="88"/>
      <c r="L19" s="88"/>
      <c r="M19" s="88"/>
      <c r="N19" s="88">
        <v>2.25</v>
      </c>
      <c r="O19" s="88">
        <v>2.04</v>
      </c>
      <c r="P19" s="88"/>
      <c r="Q19" s="88"/>
      <c r="R19" s="88"/>
      <c r="S19" s="88"/>
      <c r="T19" s="86"/>
      <c r="U19" s="89"/>
      <c r="V19" s="4"/>
      <c r="W19" s="4"/>
      <c r="X19" s="4"/>
      <c r="Y19" s="3"/>
    </row>
    <row r="20" spans="1:25" ht="20.25" customHeight="1" thickBot="1">
      <c r="A20" s="27">
        <v>12</v>
      </c>
      <c r="B20" s="32" t="s">
        <v>34</v>
      </c>
      <c r="C20" s="21" t="s">
        <v>35</v>
      </c>
      <c r="D20" s="531">
        <v>228</v>
      </c>
      <c r="E20" s="521">
        <v>228</v>
      </c>
      <c r="F20" s="152">
        <f>D20-E20</f>
        <v>0</v>
      </c>
      <c r="G20" s="42">
        <v>0</v>
      </c>
      <c r="H20" s="97">
        <f t="shared" si="0"/>
        <v>0</v>
      </c>
      <c r="I20" s="127"/>
      <c r="J20" s="504">
        <v>280</v>
      </c>
      <c r="K20" s="41"/>
      <c r="L20" s="41"/>
      <c r="M20" s="41">
        <v>0</v>
      </c>
      <c r="N20" s="41"/>
      <c r="O20" s="41"/>
      <c r="P20" s="41"/>
      <c r="Q20" s="41"/>
      <c r="R20" s="41"/>
      <c r="S20" s="41"/>
      <c r="T20" s="41"/>
      <c r="U20" s="43"/>
      <c r="V20" s="4"/>
      <c r="W20" s="4"/>
      <c r="X20" s="4"/>
      <c r="Y20" s="3"/>
    </row>
    <row r="21" spans="1:25" ht="24" customHeight="1" thickBot="1">
      <c r="A21" s="91">
        <v>13</v>
      </c>
      <c r="B21" s="92" t="s">
        <v>36</v>
      </c>
      <c r="C21" s="93" t="s">
        <v>2</v>
      </c>
      <c r="D21" s="529">
        <v>421</v>
      </c>
      <c r="E21" s="530">
        <v>0</v>
      </c>
      <c r="F21" s="36">
        <v>421</v>
      </c>
      <c r="G21" s="95">
        <v>0</v>
      </c>
      <c r="H21" s="87">
        <f t="shared" si="0"/>
        <v>421</v>
      </c>
      <c r="I21" s="129"/>
      <c r="J21" s="507">
        <v>0</v>
      </c>
      <c r="K21" s="53"/>
      <c r="L21" s="53"/>
      <c r="M21" s="53">
        <v>200</v>
      </c>
      <c r="N21" s="53">
        <v>221</v>
      </c>
      <c r="O21" s="53"/>
      <c r="P21" s="53"/>
      <c r="Q21" s="53"/>
      <c r="R21" s="53"/>
      <c r="S21" s="53"/>
      <c r="T21" s="95"/>
      <c r="U21" s="96"/>
      <c r="V21" s="4"/>
      <c r="W21" s="4"/>
      <c r="X21" s="4"/>
      <c r="Y21" s="5"/>
    </row>
    <row r="22" spans="1:25" ht="20.25" customHeight="1" thickBot="1">
      <c r="A22" s="27">
        <v>14</v>
      </c>
      <c r="B22" s="32" t="s">
        <v>37</v>
      </c>
      <c r="C22" s="21" t="s">
        <v>2</v>
      </c>
      <c r="D22" s="531">
        <v>182</v>
      </c>
      <c r="E22" s="521">
        <v>87</v>
      </c>
      <c r="F22" s="152">
        <f>D22-E22</f>
        <v>95</v>
      </c>
      <c r="G22" s="42">
        <v>0</v>
      </c>
      <c r="H22" s="97">
        <f t="shared" si="0"/>
        <v>95</v>
      </c>
      <c r="I22" s="127"/>
      <c r="J22" s="504">
        <v>0</v>
      </c>
      <c r="K22" s="41"/>
      <c r="L22" s="41"/>
      <c r="M22" s="41"/>
      <c r="N22" s="41">
        <v>50</v>
      </c>
      <c r="O22" s="41">
        <v>45</v>
      </c>
      <c r="P22" s="41"/>
      <c r="Q22" s="41"/>
      <c r="R22" s="41"/>
      <c r="S22" s="41"/>
      <c r="T22" s="41"/>
      <c r="U22" s="43"/>
      <c r="V22" s="4"/>
      <c r="W22" s="4"/>
      <c r="X22" s="4"/>
      <c r="Y22" s="3"/>
    </row>
    <row r="23" spans="1:25" ht="24" customHeight="1" thickBot="1">
      <c r="A23" s="91">
        <v>15</v>
      </c>
      <c r="B23" s="92" t="s">
        <v>38</v>
      </c>
      <c r="C23" s="93" t="s">
        <v>35</v>
      </c>
      <c r="D23" s="529">
        <v>43147</v>
      </c>
      <c r="E23" s="530">
        <v>43147</v>
      </c>
      <c r="F23" s="36">
        <v>0</v>
      </c>
      <c r="G23" s="95">
        <v>0</v>
      </c>
      <c r="H23" s="87">
        <f t="shared" si="0"/>
        <v>0</v>
      </c>
      <c r="I23" s="129"/>
      <c r="J23" s="507">
        <v>43147</v>
      </c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96"/>
      <c r="V23" s="4"/>
      <c r="W23" s="4"/>
      <c r="X23" s="4"/>
      <c r="Y23" s="3"/>
    </row>
    <row r="24" spans="1:25" ht="32.25" thickBot="1">
      <c r="A24" s="27">
        <v>16</v>
      </c>
      <c r="B24" s="32" t="s">
        <v>39</v>
      </c>
      <c r="C24" s="21" t="s">
        <v>2</v>
      </c>
      <c r="D24" s="531">
        <v>480</v>
      </c>
      <c r="E24" s="521">
        <v>0</v>
      </c>
      <c r="F24" s="157">
        <f>D24-E24</f>
        <v>480</v>
      </c>
      <c r="G24" s="57">
        <v>0</v>
      </c>
      <c r="H24" s="97">
        <f t="shared" si="0"/>
        <v>480</v>
      </c>
      <c r="I24" s="127"/>
      <c r="J24" s="504">
        <v>0</v>
      </c>
      <c r="K24" s="41"/>
      <c r="L24" s="41"/>
      <c r="M24" s="41">
        <v>190</v>
      </c>
      <c r="N24" s="41">
        <v>290</v>
      </c>
      <c r="O24" s="41"/>
      <c r="P24" s="41"/>
      <c r="Q24" s="41"/>
      <c r="R24" s="41"/>
      <c r="S24" s="41"/>
      <c r="T24" s="41"/>
      <c r="U24" s="43"/>
      <c r="V24" s="4"/>
      <c r="W24" s="4"/>
      <c r="X24" s="4"/>
      <c r="Y24" s="3"/>
    </row>
    <row r="25" spans="1:25" ht="22.5" customHeight="1" thickBot="1">
      <c r="A25" s="28">
        <v>17</v>
      </c>
      <c r="B25" s="33" t="s">
        <v>40</v>
      </c>
      <c r="C25" s="22" t="s">
        <v>41</v>
      </c>
      <c r="D25" s="536">
        <v>134.4</v>
      </c>
      <c r="E25" s="523">
        <v>0</v>
      </c>
      <c r="F25" s="159">
        <f>D25-E25</f>
        <v>134.4</v>
      </c>
      <c r="G25" s="553">
        <v>0</v>
      </c>
      <c r="H25" s="135">
        <f>F25-G25</f>
        <v>134.4</v>
      </c>
      <c r="I25" s="126"/>
      <c r="J25" s="505">
        <v>0</v>
      </c>
      <c r="K25" s="44"/>
      <c r="L25" s="44"/>
      <c r="M25" s="44"/>
      <c r="N25" s="44"/>
      <c r="O25" s="44">
        <v>134.4</v>
      </c>
      <c r="P25" s="44"/>
      <c r="Q25" s="44"/>
      <c r="R25" s="44"/>
      <c r="S25" s="44"/>
      <c r="T25" s="44"/>
      <c r="U25" s="46"/>
      <c r="V25" s="4"/>
      <c r="W25" s="4"/>
      <c r="X25" s="4"/>
      <c r="Y25" s="3"/>
    </row>
    <row r="26" spans="1:25" ht="23.25" customHeight="1" thickBot="1">
      <c r="A26" s="91">
        <v>18</v>
      </c>
      <c r="B26" s="92" t="s">
        <v>42</v>
      </c>
      <c r="C26" s="93" t="s">
        <v>41</v>
      </c>
      <c r="D26" s="529"/>
      <c r="E26" s="530"/>
      <c r="F26" s="160"/>
      <c r="G26" s="153"/>
      <c r="H26" s="87"/>
      <c r="I26" s="129"/>
      <c r="J26" s="507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96"/>
      <c r="V26" s="4"/>
      <c r="W26" s="4"/>
      <c r="X26" s="4"/>
      <c r="Y26" s="3"/>
    </row>
    <row r="27" spans="1:25" ht="21" customHeight="1" thickBot="1">
      <c r="A27" s="27">
        <v>19</v>
      </c>
      <c r="B27" s="32" t="s">
        <v>43</v>
      </c>
      <c r="C27" s="21" t="s">
        <v>19</v>
      </c>
      <c r="D27" s="547">
        <v>0.353309715</v>
      </c>
      <c r="E27" s="521">
        <v>0</v>
      </c>
      <c r="F27" s="548">
        <f>D27-E27</f>
        <v>0.353309715</v>
      </c>
      <c r="G27" s="149">
        <v>0</v>
      </c>
      <c r="H27" s="452">
        <f t="shared" si="0"/>
        <v>0.353309715</v>
      </c>
      <c r="I27" s="127"/>
      <c r="J27" s="504">
        <v>0</v>
      </c>
      <c r="K27" s="41">
        <v>0.303</v>
      </c>
      <c r="L27" s="41"/>
      <c r="M27" s="41"/>
      <c r="N27" s="41"/>
      <c r="O27" s="41"/>
      <c r="P27" s="41"/>
      <c r="Q27" s="41"/>
      <c r="R27" s="41"/>
      <c r="S27" s="41"/>
      <c r="T27" s="41"/>
      <c r="U27" s="43"/>
      <c r="V27" s="4"/>
      <c r="W27" s="4"/>
      <c r="X27" s="4"/>
      <c r="Y27" s="3"/>
    </row>
    <row r="28" spans="1:25" ht="25.5" customHeight="1" thickBot="1">
      <c r="A28" s="91">
        <v>20</v>
      </c>
      <c r="B28" s="92" t="s">
        <v>44</v>
      </c>
      <c r="C28" s="93" t="s">
        <v>45</v>
      </c>
      <c r="D28" s="529"/>
      <c r="E28" s="530"/>
      <c r="F28" s="161"/>
      <c r="G28" s="153"/>
      <c r="H28" s="87"/>
      <c r="I28" s="129"/>
      <c r="J28" s="507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96"/>
      <c r="V28" s="4"/>
      <c r="W28" s="4"/>
      <c r="X28" s="4"/>
      <c r="Y28" s="3"/>
    </row>
    <row r="29" spans="1:25" ht="20.25" customHeight="1" thickBot="1">
      <c r="A29" s="28">
        <v>21</v>
      </c>
      <c r="B29" s="33" t="s">
        <v>46</v>
      </c>
      <c r="C29" s="22" t="s">
        <v>19</v>
      </c>
      <c r="D29" s="536"/>
      <c r="E29" s="523"/>
      <c r="F29" s="154"/>
      <c r="G29" s="155"/>
      <c r="H29" s="98"/>
      <c r="I29" s="126"/>
      <c r="J29" s="505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6"/>
      <c r="V29" s="4"/>
      <c r="W29" s="4"/>
      <c r="X29" s="4"/>
      <c r="Y29" s="3"/>
    </row>
    <row r="30" spans="1:25" ht="20.25" customHeight="1" thickBot="1">
      <c r="A30" s="30">
        <v>22</v>
      </c>
      <c r="B30" s="35" t="s">
        <v>47</v>
      </c>
      <c r="C30" s="24" t="s">
        <v>19</v>
      </c>
      <c r="D30" s="537"/>
      <c r="E30" s="538"/>
      <c r="F30" s="162"/>
      <c r="G30" s="156"/>
      <c r="H30" s="90"/>
      <c r="I30" s="130"/>
      <c r="J30" s="508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1"/>
      <c r="V30" s="4"/>
      <c r="W30" s="4"/>
      <c r="X30" s="4"/>
      <c r="Y30" s="3"/>
    </row>
    <row r="31" spans="1:24" ht="27" customHeight="1" thickBot="1">
      <c r="A31" s="28">
        <v>23</v>
      </c>
      <c r="B31" s="33" t="s">
        <v>48</v>
      </c>
      <c r="C31" s="22" t="s">
        <v>41</v>
      </c>
      <c r="D31" s="536"/>
      <c r="E31" s="523"/>
      <c r="F31" s="158"/>
      <c r="G31" s="45"/>
      <c r="H31" s="98"/>
      <c r="I31" s="126"/>
      <c r="J31" s="505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6"/>
      <c r="V31" s="4"/>
      <c r="W31" s="4"/>
      <c r="X31" s="4"/>
    </row>
    <row r="32" spans="1:24" ht="15">
      <c r="A32" s="6"/>
      <c r="B32" s="7"/>
      <c r="C32" s="8"/>
      <c r="D32" s="8"/>
      <c r="E32" s="8"/>
      <c r="F32" s="9"/>
      <c r="G32" s="10"/>
      <c r="H32" s="10"/>
      <c r="I32" s="9"/>
      <c r="J32" s="11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6" s="170" customFormat="1" ht="33.75" customHeight="1">
      <c r="A33" s="770" t="s">
        <v>59</v>
      </c>
      <c r="B33" s="770"/>
      <c r="C33" s="770"/>
      <c r="D33" s="770"/>
      <c r="E33" s="770"/>
      <c r="F33" s="770"/>
      <c r="G33" s="770"/>
      <c r="H33" s="770"/>
      <c r="I33" s="167"/>
      <c r="J33" s="167"/>
      <c r="K33" s="167"/>
      <c r="L33" s="169" t="s">
        <v>60</v>
      </c>
      <c r="N33" s="169"/>
      <c r="P33" s="169"/>
      <c r="Q33" s="169"/>
      <c r="S33" s="169"/>
      <c r="T33" s="169"/>
      <c r="U33" s="169"/>
      <c r="V33" s="169"/>
      <c r="W33" s="169"/>
      <c r="X33" s="166"/>
      <c r="Y33" s="166"/>
      <c r="Z33" s="166"/>
    </row>
    <row r="34" spans="1:24" ht="15">
      <c r="A34" s="6"/>
      <c r="B34" s="7"/>
      <c r="C34" s="8"/>
      <c r="D34" s="8"/>
      <c r="E34" s="8"/>
      <c r="F34" s="9"/>
      <c r="G34" s="10"/>
      <c r="H34" s="10"/>
      <c r="I34" s="9"/>
      <c r="J34" s="11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5">
      <c r="A35" s="6"/>
      <c r="B35" s="732"/>
      <c r="C35" s="732"/>
      <c r="D35" s="732"/>
      <c r="E35" s="732"/>
      <c r="F35" s="732"/>
      <c r="G35" s="732"/>
      <c r="H35" s="732"/>
      <c r="I35" s="9"/>
      <c r="J35" s="11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</sheetData>
  <sheetProtection selectLockedCells="1" selectUnlockedCells="1"/>
  <mergeCells count="12">
    <mergeCell ref="A1:AA2"/>
    <mergeCell ref="A4:A5"/>
    <mergeCell ref="B4:B5"/>
    <mergeCell ref="C4:C5"/>
    <mergeCell ref="F4:G4"/>
    <mergeCell ref="H4:H5"/>
    <mergeCell ref="I4:U4"/>
    <mergeCell ref="I5:J5"/>
    <mergeCell ref="D4:D5"/>
    <mergeCell ref="E4:E5"/>
    <mergeCell ref="B35:H35"/>
    <mergeCell ref="A33:H33"/>
  </mergeCells>
  <printOptions horizontalCentered="1" verticalCentered="1"/>
  <pageMargins left="0.4330708661417323" right="0.15748031496062992" top="0.41" bottom="0.2755905511811024" header="0.42" footer="0.5118110236220472"/>
  <pageSetup fitToHeight="1" fitToWidth="1" horizontalDpi="300" verticalDpi="300" orientation="landscape" paperSize="9" scale="6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"/>
  <sheetViews>
    <sheetView view="pageBreakPreview" zoomScale="85" zoomScaleNormal="85" zoomScaleSheetLayoutView="85" zoomScalePageLayoutView="0" workbookViewId="0" topLeftCell="A1">
      <selection activeCell="H29" sqref="H29"/>
    </sheetView>
  </sheetViews>
  <sheetFormatPr defaultColWidth="9.00390625" defaultRowHeight="12.75"/>
  <cols>
    <col min="1" max="1" width="4.00390625" style="0" customWidth="1"/>
    <col min="2" max="2" width="36.125" style="0" customWidth="1"/>
    <col min="4" max="4" width="19.75390625" style="0" customWidth="1"/>
    <col min="5" max="5" width="17.375" style="0" customWidth="1"/>
    <col min="6" max="6" width="9.25390625" style="0" hidden="1" customWidth="1"/>
    <col min="7" max="7" width="12.25390625" style="0" hidden="1" customWidth="1"/>
    <col min="8" max="8" width="12.25390625" style="0" customWidth="1"/>
    <col min="17" max="17" width="8.75390625" style="0" customWidth="1"/>
    <col min="21" max="21" width="9.75390625" style="0" customWidth="1"/>
  </cols>
  <sheetData>
    <row r="1" spans="1:27" ht="13.5" customHeight="1">
      <c r="A1" s="768" t="s">
        <v>57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  <c r="X1" s="768"/>
      <c r="Y1" s="768"/>
      <c r="Z1" s="768"/>
      <c r="AA1" s="768"/>
    </row>
    <row r="2" spans="1:27" ht="33" customHeight="1">
      <c r="A2" s="768"/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8"/>
      <c r="X2" s="768"/>
      <c r="Y2" s="768"/>
      <c r="Z2" s="768"/>
      <c r="AA2" s="768"/>
    </row>
    <row r="3" spans="18:21" ht="14.25" customHeight="1" thickBot="1">
      <c r="R3" s="594" t="s">
        <v>81</v>
      </c>
      <c r="S3" s="595"/>
      <c r="T3" s="520" t="s">
        <v>85</v>
      </c>
      <c r="U3" s="595"/>
    </row>
    <row r="4" spans="1:24" ht="31.5" customHeight="1" thickBot="1">
      <c r="A4" s="777" t="s">
        <v>6</v>
      </c>
      <c r="B4" s="766" t="s">
        <v>7</v>
      </c>
      <c r="C4" s="779" t="s">
        <v>8</v>
      </c>
      <c r="D4" s="764" t="s">
        <v>83</v>
      </c>
      <c r="E4" s="766" t="s">
        <v>84</v>
      </c>
      <c r="F4" s="771" t="s">
        <v>50</v>
      </c>
      <c r="G4" s="772"/>
      <c r="H4" s="730" t="s">
        <v>82</v>
      </c>
      <c r="I4" s="773" t="s">
        <v>9</v>
      </c>
      <c r="J4" s="774"/>
      <c r="K4" s="774"/>
      <c r="L4" s="774"/>
      <c r="M4" s="774"/>
      <c r="N4" s="774"/>
      <c r="O4" s="774"/>
      <c r="P4" s="774"/>
      <c r="Q4" s="774"/>
      <c r="R4" s="774"/>
      <c r="S4" s="774"/>
      <c r="T4" s="775"/>
      <c r="U4" s="776"/>
      <c r="V4" s="1"/>
      <c r="W4" s="1"/>
      <c r="X4" s="1"/>
    </row>
    <row r="5" spans="1:25" ht="32.25" customHeight="1" thickBot="1">
      <c r="A5" s="778"/>
      <c r="B5" s="767"/>
      <c r="C5" s="780"/>
      <c r="D5" s="765"/>
      <c r="E5" s="767"/>
      <c r="F5" s="16" t="s">
        <v>49</v>
      </c>
      <c r="G5" s="54" t="s">
        <v>10</v>
      </c>
      <c r="H5" s="731"/>
      <c r="I5" s="757" t="s">
        <v>4</v>
      </c>
      <c r="J5" s="769"/>
      <c r="K5" s="121" t="s">
        <v>3</v>
      </c>
      <c r="L5" s="121" t="s">
        <v>0</v>
      </c>
      <c r="M5" s="121" t="s">
        <v>1</v>
      </c>
      <c r="N5" s="121" t="s">
        <v>5</v>
      </c>
      <c r="O5" s="121" t="s">
        <v>11</v>
      </c>
      <c r="P5" s="121" t="s">
        <v>12</v>
      </c>
      <c r="Q5" s="121" t="s">
        <v>13</v>
      </c>
      <c r="R5" s="121" t="s">
        <v>14</v>
      </c>
      <c r="S5" s="121" t="s">
        <v>15</v>
      </c>
      <c r="T5" s="121" t="s">
        <v>16</v>
      </c>
      <c r="U5" s="122" t="s">
        <v>17</v>
      </c>
      <c r="V5" s="2"/>
      <c r="W5" s="2"/>
      <c r="X5" s="2"/>
      <c r="Y5" s="3"/>
    </row>
    <row r="6" spans="1:25" ht="16.5" thickBot="1">
      <c r="A6" s="25"/>
      <c r="B6" s="19"/>
      <c r="C6" s="19"/>
      <c r="D6" s="524"/>
      <c r="E6" s="19"/>
      <c r="F6" s="18"/>
      <c r="G6" s="55"/>
      <c r="H6" s="22"/>
      <c r="I6" s="415" t="s">
        <v>49</v>
      </c>
      <c r="J6" s="474" t="s">
        <v>10</v>
      </c>
      <c r="K6" s="13"/>
      <c r="L6" s="14"/>
      <c r="M6" s="13"/>
      <c r="N6" s="14"/>
      <c r="O6" s="13"/>
      <c r="P6" s="14"/>
      <c r="Q6" s="13"/>
      <c r="R6" s="14"/>
      <c r="S6" s="13"/>
      <c r="T6" s="17"/>
      <c r="U6" s="15"/>
      <c r="V6" s="2"/>
      <c r="W6" s="2"/>
      <c r="X6" s="2"/>
      <c r="Y6" s="3"/>
    </row>
    <row r="7" spans="1:25" ht="21.75" customHeight="1" thickBot="1">
      <c r="A7" s="67">
        <v>1</v>
      </c>
      <c r="B7" s="68" t="s">
        <v>18</v>
      </c>
      <c r="C7" s="107" t="s">
        <v>19</v>
      </c>
      <c r="D7" s="540">
        <v>1150.1208000000001</v>
      </c>
      <c r="E7" s="540">
        <v>1150.1208000000001</v>
      </c>
      <c r="F7" s="111">
        <f>F8+F9</f>
        <v>281.65</v>
      </c>
      <c r="G7" s="71">
        <f>G8+G9</f>
        <v>281.65</v>
      </c>
      <c r="H7" s="131">
        <f>F7-G7</f>
        <v>0</v>
      </c>
      <c r="I7" s="123"/>
      <c r="J7" s="509">
        <v>0</v>
      </c>
      <c r="K7" s="117"/>
      <c r="L7" s="117"/>
      <c r="M7" s="117"/>
      <c r="N7" s="117"/>
      <c r="O7" s="117"/>
      <c r="P7" s="117"/>
      <c r="Q7" s="117"/>
      <c r="R7" s="117"/>
      <c r="S7" s="73"/>
      <c r="T7" s="74"/>
      <c r="U7" s="75"/>
      <c r="V7" s="4"/>
      <c r="W7" s="4"/>
      <c r="X7" s="4"/>
      <c r="Y7" s="3"/>
    </row>
    <row r="8" spans="1:25" ht="21" customHeight="1" thickBot="1">
      <c r="A8" s="76"/>
      <c r="B8" s="77" t="s">
        <v>20</v>
      </c>
      <c r="C8" s="136" t="s">
        <v>19</v>
      </c>
      <c r="D8" s="540">
        <v>597.9912</v>
      </c>
      <c r="E8" s="540">
        <v>597.9912</v>
      </c>
      <c r="F8" s="112">
        <v>154.65</v>
      </c>
      <c r="G8" s="79">
        <v>154.65</v>
      </c>
      <c r="H8" s="100">
        <f aca="true" t="shared" si="0" ref="H8:H27">F8-G8</f>
        <v>0</v>
      </c>
      <c r="I8" s="138"/>
      <c r="J8" s="515">
        <v>0</v>
      </c>
      <c r="K8" s="139"/>
      <c r="L8" s="139"/>
      <c r="M8" s="139"/>
      <c r="N8" s="115"/>
      <c r="O8" s="115"/>
      <c r="P8" s="115"/>
      <c r="Q8" s="115"/>
      <c r="R8" s="115"/>
      <c r="S8" s="80"/>
      <c r="T8" s="79"/>
      <c r="U8" s="81"/>
      <c r="V8" s="4"/>
      <c r="W8" s="4"/>
      <c r="X8" s="4"/>
      <c r="Y8" s="3"/>
    </row>
    <row r="9" spans="1:25" ht="24" customHeight="1" thickBot="1">
      <c r="A9" s="26"/>
      <c r="B9" s="31" t="s">
        <v>21</v>
      </c>
      <c r="C9" s="109" t="s">
        <v>19</v>
      </c>
      <c r="D9" s="540">
        <v>552.1296</v>
      </c>
      <c r="E9" s="540">
        <v>552.1296</v>
      </c>
      <c r="F9" s="62">
        <v>127</v>
      </c>
      <c r="G9" s="143">
        <v>127</v>
      </c>
      <c r="H9" s="101">
        <f t="shared" si="0"/>
        <v>0</v>
      </c>
      <c r="I9" s="124"/>
      <c r="J9" s="510">
        <v>0</v>
      </c>
      <c r="K9" s="115"/>
      <c r="L9" s="115"/>
      <c r="M9" s="115"/>
      <c r="N9" s="115"/>
      <c r="O9" s="115"/>
      <c r="P9" s="115"/>
      <c r="Q9" s="115"/>
      <c r="R9" s="115"/>
      <c r="S9" s="37"/>
      <c r="T9" s="38"/>
      <c r="U9" s="39"/>
      <c r="V9" s="4"/>
      <c r="W9" s="4"/>
      <c r="X9" s="4"/>
      <c r="Y9" s="3"/>
    </row>
    <row r="10" spans="1:25" ht="24" customHeight="1" thickBot="1">
      <c r="A10" s="27">
        <v>2</v>
      </c>
      <c r="B10" s="32" t="s">
        <v>22</v>
      </c>
      <c r="C10" s="21" t="s">
        <v>19</v>
      </c>
      <c r="D10" s="521">
        <v>83.22</v>
      </c>
      <c r="E10" s="521">
        <v>83.22</v>
      </c>
      <c r="F10" s="65">
        <v>83.224</v>
      </c>
      <c r="G10" s="57">
        <v>83.22</v>
      </c>
      <c r="H10" s="64">
        <f t="shared" si="0"/>
        <v>0.0040000000000048885</v>
      </c>
      <c r="I10" s="140"/>
      <c r="J10" s="516">
        <v>0</v>
      </c>
      <c r="K10" s="141"/>
      <c r="L10" s="141"/>
      <c r="M10" s="142"/>
      <c r="N10" s="118"/>
      <c r="O10" s="118"/>
      <c r="P10" s="118"/>
      <c r="Q10" s="118"/>
      <c r="R10" s="118"/>
      <c r="S10" s="41"/>
      <c r="T10" s="42"/>
      <c r="U10" s="43"/>
      <c r="V10" s="4"/>
      <c r="W10" s="4"/>
      <c r="X10" s="4"/>
      <c r="Y10" s="3"/>
    </row>
    <row r="11" spans="1:25" ht="22.5" customHeight="1" thickBot="1">
      <c r="A11" s="28">
        <v>3</v>
      </c>
      <c r="B11" s="33" t="s">
        <v>23</v>
      </c>
      <c r="C11" s="22" t="s">
        <v>19</v>
      </c>
      <c r="D11" s="523">
        <v>0</v>
      </c>
      <c r="E11" s="523">
        <v>0</v>
      </c>
      <c r="F11" s="36">
        <v>0</v>
      </c>
      <c r="G11" s="56">
        <v>0</v>
      </c>
      <c r="H11" s="61">
        <f t="shared" si="0"/>
        <v>0</v>
      </c>
      <c r="I11" s="126"/>
      <c r="J11" s="505">
        <v>0</v>
      </c>
      <c r="K11" s="44"/>
      <c r="L11" s="44"/>
      <c r="M11" s="44"/>
      <c r="N11" s="44"/>
      <c r="O11" s="44"/>
      <c r="P11" s="44"/>
      <c r="Q11" s="44"/>
      <c r="R11" s="44"/>
      <c r="S11" s="44"/>
      <c r="T11" s="45"/>
      <c r="U11" s="46"/>
      <c r="V11" s="4"/>
      <c r="W11" s="4"/>
      <c r="X11" s="4"/>
      <c r="Y11" s="3"/>
    </row>
    <row r="12" spans="1:25" ht="22.5" customHeight="1" thickBot="1">
      <c r="A12" s="27">
        <v>4</v>
      </c>
      <c r="B12" s="32" t="s">
        <v>24</v>
      </c>
      <c r="C12" s="21" t="s">
        <v>19</v>
      </c>
      <c r="D12" s="540">
        <v>1258.324</v>
      </c>
      <c r="E12" s="540">
        <v>1258.324</v>
      </c>
      <c r="F12" s="110">
        <v>49.79</v>
      </c>
      <c r="G12" s="57">
        <v>49.79</v>
      </c>
      <c r="H12" s="64">
        <f t="shared" si="0"/>
        <v>0</v>
      </c>
      <c r="I12" s="125"/>
      <c r="J12" s="511">
        <v>0</v>
      </c>
      <c r="K12" s="118"/>
      <c r="L12" s="118"/>
      <c r="M12" s="118"/>
      <c r="N12" s="118"/>
      <c r="O12" s="118"/>
      <c r="P12" s="118"/>
      <c r="Q12" s="41"/>
      <c r="R12" s="41"/>
      <c r="S12" s="41"/>
      <c r="T12" s="42"/>
      <c r="U12" s="43"/>
      <c r="V12" s="4"/>
      <c r="W12" s="4"/>
      <c r="X12" s="4"/>
      <c r="Y12" s="3"/>
    </row>
    <row r="13" spans="1:25" ht="20.25" customHeight="1" thickBot="1">
      <c r="A13" s="29">
        <v>5</v>
      </c>
      <c r="B13" s="34" t="s">
        <v>25</v>
      </c>
      <c r="C13" s="23" t="s">
        <v>19</v>
      </c>
      <c r="D13" s="522">
        <v>11.85</v>
      </c>
      <c r="E13" s="522">
        <v>11.85</v>
      </c>
      <c r="F13" s="62">
        <v>11.85</v>
      </c>
      <c r="G13" s="56">
        <v>11.85</v>
      </c>
      <c r="H13" s="63">
        <f t="shared" si="0"/>
        <v>0</v>
      </c>
      <c r="I13" s="126"/>
      <c r="J13" s="512">
        <v>0</v>
      </c>
      <c r="K13" s="119"/>
      <c r="L13" s="119"/>
      <c r="M13" s="119"/>
      <c r="N13" s="119"/>
      <c r="O13" s="119"/>
      <c r="P13" s="119"/>
      <c r="Q13" s="119"/>
      <c r="R13" s="119"/>
      <c r="S13" s="44"/>
      <c r="T13" s="45"/>
      <c r="U13" s="46"/>
      <c r="V13" s="4"/>
      <c r="W13" s="4"/>
      <c r="X13" s="4"/>
      <c r="Y13" s="3"/>
    </row>
    <row r="14" spans="1:25" ht="19.5" customHeight="1" thickBot="1">
      <c r="A14" s="27">
        <v>6</v>
      </c>
      <c r="B14" s="32" t="s">
        <v>26</v>
      </c>
      <c r="C14" s="21" t="s">
        <v>19</v>
      </c>
      <c r="D14" s="521">
        <v>23.62</v>
      </c>
      <c r="E14" s="521">
        <v>13.14</v>
      </c>
      <c r="F14" s="65">
        <v>12.58</v>
      </c>
      <c r="G14" s="66">
        <v>2.1</v>
      </c>
      <c r="H14" s="60">
        <f t="shared" si="0"/>
        <v>10.48</v>
      </c>
      <c r="I14" s="125">
        <v>1</v>
      </c>
      <c r="J14" s="511">
        <v>0</v>
      </c>
      <c r="K14" s="118"/>
      <c r="L14" s="118">
        <v>1.9</v>
      </c>
      <c r="M14" s="118">
        <v>1.9</v>
      </c>
      <c r="N14" s="118">
        <v>1.9</v>
      </c>
      <c r="O14" s="118">
        <v>1.9</v>
      </c>
      <c r="P14" s="118">
        <v>1.9</v>
      </c>
      <c r="Q14" s="41"/>
      <c r="R14" s="41"/>
      <c r="S14" s="41"/>
      <c r="T14" s="42"/>
      <c r="U14" s="43"/>
      <c r="V14" s="4"/>
      <c r="W14" s="4"/>
      <c r="X14" s="4"/>
      <c r="Y14" s="3"/>
    </row>
    <row r="15" spans="1:25" ht="22.5" customHeight="1" thickBot="1">
      <c r="A15" s="29">
        <v>7</v>
      </c>
      <c r="B15" s="34" t="s">
        <v>27</v>
      </c>
      <c r="C15" s="23" t="s">
        <v>19</v>
      </c>
      <c r="D15" s="522">
        <v>1.5</v>
      </c>
      <c r="E15" s="522">
        <v>1.2</v>
      </c>
      <c r="F15" s="36">
        <v>0.3</v>
      </c>
      <c r="G15" s="56">
        <v>0</v>
      </c>
      <c r="H15" s="61">
        <f t="shared" si="0"/>
        <v>0.3</v>
      </c>
      <c r="I15" s="126"/>
      <c r="J15" s="512"/>
      <c r="K15" s="119">
        <v>0.15</v>
      </c>
      <c r="L15" s="119">
        <v>0.15</v>
      </c>
      <c r="M15" s="44"/>
      <c r="N15" s="44"/>
      <c r="O15" s="44"/>
      <c r="P15" s="44"/>
      <c r="Q15" s="44"/>
      <c r="R15" s="44"/>
      <c r="S15" s="44"/>
      <c r="T15" s="45"/>
      <c r="U15" s="46"/>
      <c r="V15" s="4"/>
      <c r="W15" s="4"/>
      <c r="X15" s="4"/>
      <c r="Y15" s="3"/>
    </row>
    <row r="16" spans="1:25" ht="20.25" customHeight="1" thickBot="1">
      <c r="A16" s="27">
        <v>8</v>
      </c>
      <c r="B16" s="32" t="s">
        <v>28</v>
      </c>
      <c r="C16" s="21" t="s">
        <v>29</v>
      </c>
      <c r="D16" s="521">
        <v>1.93</v>
      </c>
      <c r="E16" s="521">
        <v>1.49</v>
      </c>
      <c r="F16" s="65">
        <v>0.5</v>
      </c>
      <c r="G16" s="66">
        <v>0.06</v>
      </c>
      <c r="H16" s="64">
        <f t="shared" si="0"/>
        <v>0.44</v>
      </c>
      <c r="I16" s="127">
        <v>0.44</v>
      </c>
      <c r="J16" s="513">
        <v>0.16</v>
      </c>
      <c r="K16" s="104"/>
      <c r="L16" s="120"/>
      <c r="M16" s="120"/>
      <c r="N16" s="120"/>
      <c r="O16" s="41"/>
      <c r="P16" s="41"/>
      <c r="Q16" s="41"/>
      <c r="R16" s="41"/>
      <c r="S16" s="41"/>
      <c r="T16" s="42"/>
      <c r="U16" s="43"/>
      <c r="V16" s="4"/>
      <c r="W16" s="4"/>
      <c r="X16" s="4"/>
      <c r="Y16" s="3"/>
    </row>
    <row r="17" spans="1:25" ht="21.75" customHeight="1" thickBot="1">
      <c r="A17" s="29">
        <v>9</v>
      </c>
      <c r="B17" s="34" t="s">
        <v>30</v>
      </c>
      <c r="C17" s="23" t="s">
        <v>31</v>
      </c>
      <c r="D17" s="523"/>
      <c r="E17" s="523"/>
      <c r="F17" s="62"/>
      <c r="G17" s="56">
        <v>0</v>
      </c>
      <c r="H17" s="63"/>
      <c r="I17" s="126"/>
      <c r="J17" s="505"/>
      <c r="K17" s="119"/>
      <c r="L17" s="119"/>
      <c r="M17" s="119"/>
      <c r="N17" s="119"/>
      <c r="O17" s="119"/>
      <c r="P17" s="119"/>
      <c r="Q17" s="44"/>
      <c r="R17" s="44"/>
      <c r="S17" s="44"/>
      <c r="T17" s="45"/>
      <c r="U17" s="46"/>
      <c r="V17" s="4"/>
      <c r="W17" s="4"/>
      <c r="X17" s="4"/>
      <c r="Y17" s="3"/>
    </row>
    <row r="18" spans="1:25" ht="21" customHeight="1" thickBot="1">
      <c r="A18" s="27">
        <v>10</v>
      </c>
      <c r="B18" s="32" t="s">
        <v>32</v>
      </c>
      <c r="C18" s="21" t="s">
        <v>2</v>
      </c>
      <c r="D18" s="521">
        <v>1784</v>
      </c>
      <c r="E18" s="521">
        <v>0</v>
      </c>
      <c r="F18" s="40">
        <v>1784</v>
      </c>
      <c r="G18" s="57">
        <v>0</v>
      </c>
      <c r="H18" s="60">
        <f t="shared" si="0"/>
        <v>1784</v>
      </c>
      <c r="I18" s="127"/>
      <c r="J18" s="504"/>
      <c r="K18" s="41"/>
      <c r="L18" s="41"/>
      <c r="M18" s="41"/>
      <c r="N18" s="41">
        <v>1784</v>
      </c>
      <c r="O18" s="41"/>
      <c r="P18" s="41"/>
      <c r="Q18" s="41"/>
      <c r="R18" s="41"/>
      <c r="S18" s="41"/>
      <c r="T18" s="42"/>
      <c r="U18" s="43"/>
      <c r="V18" s="4"/>
      <c r="W18" s="4"/>
      <c r="X18" s="4"/>
      <c r="Y18" s="3"/>
    </row>
    <row r="19" spans="1:25" ht="19.5" customHeight="1" thickBot="1">
      <c r="A19" s="82">
        <v>11</v>
      </c>
      <c r="B19" s="83" t="s">
        <v>33</v>
      </c>
      <c r="C19" s="84" t="s">
        <v>41</v>
      </c>
      <c r="D19" s="522">
        <v>5.57</v>
      </c>
      <c r="E19" s="522">
        <v>0</v>
      </c>
      <c r="F19" s="85">
        <v>5.57</v>
      </c>
      <c r="G19" s="86">
        <v>0</v>
      </c>
      <c r="H19" s="87">
        <f t="shared" si="0"/>
        <v>5.57</v>
      </c>
      <c r="I19" s="128"/>
      <c r="J19" s="506"/>
      <c r="K19" s="88"/>
      <c r="L19" s="88"/>
      <c r="M19" s="88"/>
      <c r="N19" s="88"/>
      <c r="O19" s="88"/>
      <c r="P19" s="88">
        <v>5.57</v>
      </c>
      <c r="Q19" s="88"/>
      <c r="R19" s="88"/>
      <c r="S19" s="88"/>
      <c r="T19" s="86"/>
      <c r="U19" s="89"/>
      <c r="V19" s="4"/>
      <c r="W19" s="4"/>
      <c r="X19" s="4"/>
      <c r="Y19" s="3"/>
    </row>
    <row r="20" spans="1:25" ht="20.25" customHeight="1" thickBot="1">
      <c r="A20" s="27">
        <v>12</v>
      </c>
      <c r="B20" s="32" t="s">
        <v>34</v>
      </c>
      <c r="C20" s="21" t="s">
        <v>35</v>
      </c>
      <c r="D20" s="521">
        <v>72</v>
      </c>
      <c r="E20" s="521">
        <v>0</v>
      </c>
      <c r="F20" s="59">
        <v>72</v>
      </c>
      <c r="G20" s="42">
        <v>0</v>
      </c>
      <c r="H20" s="97">
        <f t="shared" si="0"/>
        <v>72</v>
      </c>
      <c r="I20" s="127"/>
      <c r="J20" s="504"/>
      <c r="K20" s="41"/>
      <c r="L20" s="41"/>
      <c r="M20" s="41"/>
      <c r="N20" s="41"/>
      <c r="O20" s="41"/>
      <c r="P20" s="41">
        <v>72</v>
      </c>
      <c r="Q20" s="41"/>
      <c r="R20" s="41"/>
      <c r="S20" s="41"/>
      <c r="T20" s="41"/>
      <c r="U20" s="43"/>
      <c r="V20" s="4"/>
      <c r="W20" s="4"/>
      <c r="X20" s="4"/>
      <c r="Y20" s="3"/>
    </row>
    <row r="21" spans="1:25" ht="24" customHeight="1" thickBot="1">
      <c r="A21" s="91">
        <v>13</v>
      </c>
      <c r="B21" s="92" t="s">
        <v>36</v>
      </c>
      <c r="C21" s="93" t="s">
        <v>2</v>
      </c>
      <c r="D21" s="523">
        <v>421</v>
      </c>
      <c r="E21" s="523">
        <v>0</v>
      </c>
      <c r="F21" s="94">
        <v>421</v>
      </c>
      <c r="G21" s="95">
        <v>0</v>
      </c>
      <c r="H21" s="87">
        <f t="shared" si="0"/>
        <v>421</v>
      </c>
      <c r="I21" s="129"/>
      <c r="J21" s="507"/>
      <c r="K21" s="53"/>
      <c r="L21" s="53"/>
      <c r="M21" s="53"/>
      <c r="N21" s="53">
        <v>421</v>
      </c>
      <c r="O21" s="53"/>
      <c r="P21" s="53"/>
      <c r="Q21" s="53"/>
      <c r="R21" s="53"/>
      <c r="S21" s="53"/>
      <c r="T21" s="95"/>
      <c r="U21" s="96"/>
      <c r="V21" s="4"/>
      <c r="W21" s="4"/>
      <c r="X21" s="4"/>
      <c r="Y21" s="5"/>
    </row>
    <row r="22" spans="1:25" ht="20.25" customHeight="1" thickBot="1">
      <c r="A22" s="27">
        <v>14</v>
      </c>
      <c r="B22" s="32" t="s">
        <v>37</v>
      </c>
      <c r="C22" s="21" t="s">
        <v>2</v>
      </c>
      <c r="D22" s="521">
        <v>54</v>
      </c>
      <c r="E22" s="521">
        <v>0</v>
      </c>
      <c r="F22" s="59">
        <v>54</v>
      </c>
      <c r="G22" s="42">
        <v>0</v>
      </c>
      <c r="H22" s="97">
        <f t="shared" si="0"/>
        <v>54</v>
      </c>
      <c r="I22" s="127"/>
      <c r="J22" s="504"/>
      <c r="K22" s="41"/>
      <c r="L22" s="41"/>
      <c r="M22" s="41"/>
      <c r="N22" s="41"/>
      <c r="O22" s="41">
        <v>54</v>
      </c>
      <c r="P22" s="41"/>
      <c r="Q22" s="41"/>
      <c r="R22" s="41"/>
      <c r="S22" s="41"/>
      <c r="T22" s="41"/>
      <c r="U22" s="43"/>
      <c r="V22" s="4"/>
      <c r="W22" s="4"/>
      <c r="X22" s="4"/>
      <c r="Y22" s="3"/>
    </row>
    <row r="23" spans="1:25" ht="24" customHeight="1" thickBot="1">
      <c r="A23" s="91">
        <v>15</v>
      </c>
      <c r="B23" s="92" t="s">
        <v>38</v>
      </c>
      <c r="C23" s="93" t="s">
        <v>35</v>
      </c>
      <c r="D23" s="523">
        <v>60139</v>
      </c>
      <c r="E23" s="523">
        <v>60139</v>
      </c>
      <c r="F23" s="94">
        <v>60139</v>
      </c>
      <c r="G23" s="95">
        <v>60139</v>
      </c>
      <c r="H23" s="87">
        <f t="shared" si="0"/>
        <v>0</v>
      </c>
      <c r="I23" s="129"/>
      <c r="J23" s="507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96"/>
      <c r="V23" s="4"/>
      <c r="W23" s="4"/>
      <c r="X23" s="4"/>
      <c r="Y23" s="3"/>
    </row>
    <row r="24" spans="1:25" ht="32.25" thickBot="1">
      <c r="A24" s="27">
        <v>16</v>
      </c>
      <c r="B24" s="32" t="s">
        <v>39</v>
      </c>
      <c r="C24" s="21" t="s">
        <v>2</v>
      </c>
      <c r="D24" s="521">
        <v>313</v>
      </c>
      <c r="E24" s="521">
        <v>0</v>
      </c>
      <c r="F24" s="40">
        <v>313</v>
      </c>
      <c r="G24" s="57">
        <v>0</v>
      </c>
      <c r="H24" s="97">
        <f t="shared" si="0"/>
        <v>313</v>
      </c>
      <c r="I24" s="127"/>
      <c r="J24" s="504"/>
      <c r="K24" s="41"/>
      <c r="L24" s="41"/>
      <c r="M24" s="41"/>
      <c r="N24" s="41">
        <v>313</v>
      </c>
      <c r="O24" s="41"/>
      <c r="P24" s="41"/>
      <c r="Q24" s="41"/>
      <c r="R24" s="41"/>
      <c r="S24" s="41"/>
      <c r="T24" s="41"/>
      <c r="U24" s="43"/>
      <c r="V24" s="4"/>
      <c r="W24" s="4"/>
      <c r="X24" s="4"/>
      <c r="Y24" s="3"/>
    </row>
    <row r="25" spans="1:25" ht="22.5" customHeight="1" thickBot="1">
      <c r="A25" s="28">
        <v>17</v>
      </c>
      <c r="B25" s="33" t="s">
        <v>40</v>
      </c>
      <c r="C25" s="22" t="s">
        <v>41</v>
      </c>
      <c r="D25" s="523">
        <v>146.3</v>
      </c>
      <c r="E25" s="523">
        <v>0</v>
      </c>
      <c r="F25" s="133">
        <v>146.3</v>
      </c>
      <c r="G25" s="137">
        <v>0</v>
      </c>
      <c r="H25" s="135">
        <f t="shared" si="0"/>
        <v>146.3</v>
      </c>
      <c r="I25" s="126"/>
      <c r="J25" s="505"/>
      <c r="K25" s="44"/>
      <c r="L25" s="44"/>
      <c r="M25" s="44"/>
      <c r="N25" s="119">
        <f>$H$25/3</f>
        <v>48.76666666666667</v>
      </c>
      <c r="O25" s="119">
        <f>$H$25/3</f>
        <v>48.76666666666667</v>
      </c>
      <c r="P25" s="119">
        <f>$H$25/3</f>
        <v>48.76666666666667</v>
      </c>
      <c r="Q25" s="44"/>
      <c r="R25" s="44"/>
      <c r="S25" s="44"/>
      <c r="T25" s="44"/>
      <c r="U25" s="46"/>
      <c r="V25" s="4"/>
      <c r="W25" s="4"/>
      <c r="X25" s="4"/>
      <c r="Y25" s="3"/>
    </row>
    <row r="26" spans="1:25" ht="23.25" customHeight="1" thickBot="1">
      <c r="A26" s="91">
        <v>18</v>
      </c>
      <c r="B26" s="92" t="s">
        <v>42</v>
      </c>
      <c r="C26" s="93" t="s">
        <v>41</v>
      </c>
      <c r="D26" s="523" t="s">
        <v>51</v>
      </c>
      <c r="E26" s="523" t="s">
        <v>51</v>
      </c>
      <c r="F26" s="94">
        <v>0</v>
      </c>
      <c r="G26" s="95">
        <v>0</v>
      </c>
      <c r="H26" s="87"/>
      <c r="I26" s="129"/>
      <c r="J26" s="507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96"/>
      <c r="V26" s="4"/>
      <c r="W26" s="4"/>
      <c r="X26" s="4"/>
      <c r="Y26" s="3"/>
    </row>
    <row r="27" spans="1:25" ht="21" customHeight="1" thickBot="1">
      <c r="A27" s="27">
        <v>19</v>
      </c>
      <c r="B27" s="32" t="s">
        <v>43</v>
      </c>
      <c r="C27" s="21" t="s">
        <v>19</v>
      </c>
      <c r="D27" s="521">
        <v>0.408</v>
      </c>
      <c r="E27" s="521">
        <v>0.408</v>
      </c>
      <c r="F27" s="40">
        <v>0.408</v>
      </c>
      <c r="G27" s="57">
        <v>0</v>
      </c>
      <c r="H27" s="97">
        <f t="shared" si="0"/>
        <v>0.408</v>
      </c>
      <c r="I27" s="127"/>
      <c r="J27" s="504"/>
      <c r="K27" s="41"/>
      <c r="L27" s="41"/>
      <c r="M27" s="41">
        <f>$H$27/2</f>
        <v>0.204</v>
      </c>
      <c r="N27" s="41">
        <f>$H$27/2</f>
        <v>0.204</v>
      </c>
      <c r="O27" s="41"/>
      <c r="P27" s="41"/>
      <c r="Q27" s="41"/>
      <c r="R27" s="41"/>
      <c r="S27" s="41"/>
      <c r="T27" s="41"/>
      <c r="U27" s="43"/>
      <c r="V27" s="4"/>
      <c r="W27" s="4"/>
      <c r="X27" s="4"/>
      <c r="Y27" s="3"/>
    </row>
    <row r="28" spans="1:25" ht="25.5" customHeight="1" thickBot="1">
      <c r="A28" s="91">
        <v>20</v>
      </c>
      <c r="B28" s="92" t="s">
        <v>44</v>
      </c>
      <c r="C28" s="93" t="s">
        <v>45</v>
      </c>
      <c r="D28" s="523" t="s">
        <v>51</v>
      </c>
      <c r="E28" s="523" t="s">
        <v>51</v>
      </c>
      <c r="F28" s="94">
        <v>0</v>
      </c>
      <c r="G28" s="95">
        <v>0</v>
      </c>
      <c r="H28" s="87"/>
      <c r="I28" s="129"/>
      <c r="J28" s="507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96"/>
      <c r="V28" s="4"/>
      <c r="W28" s="4"/>
      <c r="X28" s="4"/>
      <c r="Y28" s="3"/>
    </row>
    <row r="29" spans="1:25" ht="20.25" customHeight="1" thickBot="1">
      <c r="A29" s="28">
        <v>21</v>
      </c>
      <c r="B29" s="33" t="s">
        <v>46</v>
      </c>
      <c r="C29" s="22" t="s">
        <v>19</v>
      </c>
      <c r="D29" s="523" t="s">
        <v>51</v>
      </c>
      <c r="E29" s="523" t="s">
        <v>51</v>
      </c>
      <c r="F29" s="48">
        <v>0</v>
      </c>
      <c r="G29" s="45">
        <v>0</v>
      </c>
      <c r="H29" s="98"/>
      <c r="I29" s="126"/>
      <c r="J29" s="505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6"/>
      <c r="V29" s="4"/>
      <c r="W29" s="4"/>
      <c r="X29" s="4"/>
      <c r="Y29" s="3"/>
    </row>
    <row r="30" spans="1:25" ht="20.25" customHeight="1" thickBot="1">
      <c r="A30" s="30">
        <v>22</v>
      </c>
      <c r="B30" s="35" t="s">
        <v>47</v>
      </c>
      <c r="C30" s="24" t="s">
        <v>19</v>
      </c>
      <c r="D30" s="523" t="s">
        <v>51</v>
      </c>
      <c r="E30" s="523" t="s">
        <v>51</v>
      </c>
      <c r="F30" s="49">
        <v>0</v>
      </c>
      <c r="G30" s="58">
        <v>0</v>
      </c>
      <c r="H30" s="90"/>
      <c r="I30" s="130"/>
      <c r="J30" s="508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1"/>
      <c r="V30" s="4"/>
      <c r="W30" s="4"/>
      <c r="X30" s="4"/>
      <c r="Y30" s="3"/>
    </row>
    <row r="31" spans="1:24" ht="27" customHeight="1" thickBot="1">
      <c r="A31" s="28">
        <v>23</v>
      </c>
      <c r="B31" s="33" t="s">
        <v>48</v>
      </c>
      <c r="C31" s="22" t="s">
        <v>41</v>
      </c>
      <c r="D31" s="523"/>
      <c r="E31" s="523"/>
      <c r="F31" s="48">
        <v>0</v>
      </c>
      <c r="G31" s="45">
        <v>0</v>
      </c>
      <c r="H31" s="98"/>
      <c r="I31" s="126"/>
      <c r="J31" s="505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6"/>
      <c r="V31" s="4"/>
      <c r="W31" s="4"/>
      <c r="X31" s="4"/>
    </row>
    <row r="32" spans="1:24" ht="15">
      <c r="A32" s="6"/>
      <c r="B32" s="7"/>
      <c r="C32" s="8"/>
      <c r="D32" s="8"/>
      <c r="E32" s="8"/>
      <c r="F32" s="9"/>
      <c r="G32" s="10"/>
      <c r="H32" s="10"/>
      <c r="I32" s="9"/>
      <c r="J32" s="11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6" s="170" customFormat="1" ht="33.75" customHeight="1">
      <c r="A33" s="770" t="s">
        <v>59</v>
      </c>
      <c r="B33" s="770"/>
      <c r="C33" s="770"/>
      <c r="D33" s="770"/>
      <c r="E33" s="770"/>
      <c r="F33" s="770"/>
      <c r="G33" s="770"/>
      <c r="H33" s="770"/>
      <c r="I33" s="167"/>
      <c r="J33" s="167"/>
      <c r="K33" s="167"/>
      <c r="L33" s="169" t="s">
        <v>60</v>
      </c>
      <c r="N33" s="169"/>
      <c r="P33" s="169"/>
      <c r="Q33" s="169"/>
      <c r="S33" s="169"/>
      <c r="T33" s="169"/>
      <c r="U33" s="169"/>
      <c r="V33" s="169"/>
      <c r="W33" s="169"/>
      <c r="X33" s="166"/>
      <c r="Y33" s="166"/>
      <c r="Z33" s="166"/>
    </row>
    <row r="34" spans="1:24" ht="15">
      <c r="A34" s="6"/>
      <c r="B34" s="7"/>
      <c r="C34" s="8"/>
      <c r="D34" s="8"/>
      <c r="E34" s="8"/>
      <c r="F34" s="9"/>
      <c r="G34" s="10"/>
      <c r="H34" s="10"/>
      <c r="I34" s="9"/>
      <c r="J34" s="11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5">
      <c r="A35" s="6"/>
      <c r="B35" s="732"/>
      <c r="C35" s="732"/>
      <c r="D35" s="732"/>
      <c r="E35" s="732"/>
      <c r="F35" s="732"/>
      <c r="G35" s="732"/>
      <c r="H35" s="732"/>
      <c r="I35" s="9"/>
      <c r="J35" s="11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</sheetData>
  <sheetProtection selectLockedCells="1" selectUnlockedCells="1"/>
  <mergeCells count="12">
    <mergeCell ref="A1:AA2"/>
    <mergeCell ref="A4:A5"/>
    <mergeCell ref="B4:B5"/>
    <mergeCell ref="C4:C5"/>
    <mergeCell ref="F4:G4"/>
    <mergeCell ref="H4:H5"/>
    <mergeCell ref="I4:U4"/>
    <mergeCell ref="I5:J5"/>
    <mergeCell ref="D4:D5"/>
    <mergeCell ref="E4:E5"/>
    <mergeCell ref="B35:H35"/>
    <mergeCell ref="A33:H33"/>
  </mergeCells>
  <printOptions/>
  <pageMargins left="0.4330708661417323" right="0.15748031496062992" top="0.42" bottom="0.2755905511811024" header="0.5118110236220472" footer="0.5118110236220472"/>
  <pageSetup fitToHeight="1" fitToWidth="1" horizontalDpi="300" verticalDpi="300" orientation="landscape" paperSize="9" scale="66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36"/>
  <sheetViews>
    <sheetView tabSelected="1" view="pageBreakPreview" zoomScale="60" zoomScalePageLayoutView="0" workbookViewId="0" topLeftCell="A1">
      <selection activeCell="Y5" sqref="Y5"/>
    </sheetView>
  </sheetViews>
  <sheetFormatPr defaultColWidth="9.00390625" defaultRowHeight="12.75"/>
  <cols>
    <col min="1" max="1" width="4.00390625" style="0" customWidth="1"/>
    <col min="2" max="2" width="24.00390625" style="0" customWidth="1"/>
    <col min="4" max="4" width="12.375" style="0" customWidth="1"/>
    <col min="5" max="5" width="13.25390625" style="0" customWidth="1"/>
    <col min="6" max="6" width="9.25390625" style="0" hidden="1" customWidth="1"/>
    <col min="7" max="7" width="12.25390625" style="0" hidden="1" customWidth="1"/>
    <col min="8" max="8" width="12.25390625" style="0" customWidth="1"/>
    <col min="9" max="9" width="9.25390625" style="0" bestFit="1" customWidth="1"/>
    <col min="10" max="10" width="11.25390625" style="0" bestFit="1" customWidth="1"/>
    <col min="11" max="12" width="9.25390625" style="0" bestFit="1" customWidth="1"/>
    <col min="13" max="13" width="11.25390625" style="0" bestFit="1" customWidth="1"/>
    <col min="14" max="14" width="10.125" style="0" bestFit="1" customWidth="1"/>
    <col min="15" max="15" width="11.25390625" style="0" bestFit="1" customWidth="1"/>
    <col min="16" max="16" width="10.125" style="0" bestFit="1" customWidth="1"/>
    <col min="17" max="17" width="9.625" style="0" customWidth="1"/>
    <col min="18" max="18" width="9.25390625" style="0" bestFit="1" customWidth="1"/>
    <col min="19" max="19" width="10.25390625" style="0" bestFit="1" customWidth="1"/>
    <col min="20" max="20" width="9.25390625" style="0" bestFit="1" customWidth="1"/>
    <col min="21" max="21" width="8.875" style="0" customWidth="1"/>
  </cols>
  <sheetData>
    <row r="1" spans="1:27" ht="13.5" customHeight="1">
      <c r="A1" s="759" t="s">
        <v>77</v>
      </c>
      <c r="B1" s="759"/>
      <c r="C1" s="759"/>
      <c r="D1" s="759"/>
      <c r="E1" s="759"/>
      <c r="F1" s="759"/>
      <c r="G1" s="759"/>
      <c r="H1" s="759"/>
      <c r="I1" s="759"/>
      <c r="J1" s="759"/>
      <c r="K1" s="759"/>
      <c r="L1" s="759"/>
      <c r="M1" s="759"/>
      <c r="N1" s="759"/>
      <c r="O1" s="759"/>
      <c r="P1" s="759"/>
      <c r="Q1" s="759"/>
      <c r="R1" s="759"/>
      <c r="S1" s="759"/>
      <c r="T1" s="759"/>
      <c r="U1" s="759"/>
      <c r="V1" s="466"/>
      <c r="W1" s="466"/>
      <c r="X1" s="466"/>
      <c r="Y1" s="466"/>
      <c r="Z1" s="466"/>
      <c r="AA1" s="466"/>
    </row>
    <row r="2" spans="1:27" ht="33" customHeight="1">
      <c r="A2" s="759"/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9"/>
      <c r="O2" s="759"/>
      <c r="P2" s="759"/>
      <c r="Q2" s="759"/>
      <c r="R2" s="759"/>
      <c r="S2" s="759"/>
      <c r="T2" s="759"/>
      <c r="U2" s="759"/>
      <c r="V2" s="466"/>
      <c r="W2" s="466"/>
      <c r="X2" s="466"/>
      <c r="Y2" s="466"/>
      <c r="Z2" s="466"/>
      <c r="AA2" s="466"/>
    </row>
    <row r="3" spans="17:19" ht="14.25" customHeight="1" thickBot="1">
      <c r="Q3" s="781" t="s">
        <v>81</v>
      </c>
      <c r="R3" s="782"/>
      <c r="S3" s="783" t="s">
        <v>86</v>
      </c>
    </row>
    <row r="4" spans="1:25" ht="31.5" customHeight="1" thickBot="1">
      <c r="A4" s="760" t="s">
        <v>6</v>
      </c>
      <c r="B4" s="761" t="s">
        <v>7</v>
      </c>
      <c r="C4" s="762" t="s">
        <v>8</v>
      </c>
      <c r="D4" s="779" t="s">
        <v>79</v>
      </c>
      <c r="E4" s="779" t="s">
        <v>80</v>
      </c>
      <c r="F4" s="763" t="s">
        <v>50</v>
      </c>
      <c r="G4" s="763"/>
      <c r="H4" s="763" t="s">
        <v>82</v>
      </c>
      <c r="I4" s="756" t="s">
        <v>9</v>
      </c>
      <c r="J4" s="756"/>
      <c r="K4" s="756"/>
      <c r="L4" s="756"/>
      <c r="M4" s="756"/>
      <c r="N4" s="756"/>
      <c r="O4" s="756"/>
      <c r="P4" s="756"/>
      <c r="Q4" s="756"/>
      <c r="R4" s="756"/>
      <c r="S4" s="756"/>
      <c r="T4" s="756"/>
      <c r="U4" s="756"/>
      <c r="V4" s="1"/>
      <c r="W4" s="1"/>
      <c r="X4" s="1"/>
      <c r="Y4" s="3"/>
    </row>
    <row r="5" spans="1:25" ht="33.75" customHeight="1" thickBot="1">
      <c r="A5" s="760"/>
      <c r="B5" s="761"/>
      <c r="C5" s="762"/>
      <c r="D5" s="780"/>
      <c r="E5" s="780"/>
      <c r="F5" s="446" t="s">
        <v>49</v>
      </c>
      <c r="G5" s="447" t="s">
        <v>10</v>
      </c>
      <c r="H5" s="763"/>
      <c r="I5" s="757" t="s">
        <v>4</v>
      </c>
      <c r="J5" s="758"/>
      <c r="K5" s="447" t="s">
        <v>3</v>
      </c>
      <c r="L5" s="447" t="s">
        <v>0</v>
      </c>
      <c r="M5" s="447" t="s">
        <v>1</v>
      </c>
      <c r="N5" s="447" t="s">
        <v>5</v>
      </c>
      <c r="O5" s="447" t="s">
        <v>11</v>
      </c>
      <c r="P5" s="447" t="s">
        <v>12</v>
      </c>
      <c r="Q5" s="447" t="s">
        <v>13</v>
      </c>
      <c r="R5" s="447" t="s">
        <v>14</v>
      </c>
      <c r="S5" s="447" t="s">
        <v>15</v>
      </c>
      <c r="T5" s="447" t="s">
        <v>16</v>
      </c>
      <c r="U5" s="447" t="s">
        <v>17</v>
      </c>
      <c r="V5" s="2"/>
      <c r="W5" s="2"/>
      <c r="X5" s="2"/>
      <c r="Y5" s="3"/>
    </row>
    <row r="6" spans="1:25" ht="16.5" thickBot="1">
      <c r="A6" s="19"/>
      <c r="B6" s="19"/>
      <c r="C6" s="19"/>
      <c r="D6" s="19"/>
      <c r="E6" s="19"/>
      <c r="F6" s="448"/>
      <c r="G6" s="22"/>
      <c r="H6" s="22"/>
      <c r="I6" s="415" t="s">
        <v>49</v>
      </c>
      <c r="J6" s="474" t="s">
        <v>10</v>
      </c>
      <c r="K6" s="449"/>
      <c r="L6" s="450"/>
      <c r="M6" s="449"/>
      <c r="N6" s="450"/>
      <c r="O6" s="449"/>
      <c r="P6" s="450"/>
      <c r="Q6" s="449"/>
      <c r="R6" s="450"/>
      <c r="S6" s="449"/>
      <c r="T6" s="449"/>
      <c r="U6" s="450"/>
      <c r="V6" s="2"/>
      <c r="W6" s="2"/>
      <c r="X6" s="2"/>
      <c r="Y6" s="3"/>
    </row>
    <row r="7" spans="1:25" ht="21.75" customHeight="1" thickBot="1">
      <c r="A7" s="451">
        <v>1</v>
      </c>
      <c r="B7" s="32" t="s">
        <v>18</v>
      </c>
      <c r="C7" s="604" t="s">
        <v>19</v>
      </c>
      <c r="D7" s="677">
        <f>Salini!D7+Impresa!D7+Akkord!D7+Azerkorpu!D7+'Summury Todini'!D7</f>
        <v>11977.027833082704</v>
      </c>
      <c r="E7" s="677">
        <f>Salini!E7+Impresa!E7+Akkord!E7+Azerkorpu!E7+'Summury Todini'!E7</f>
        <v>6316.835380743452</v>
      </c>
      <c r="F7" s="677">
        <f>Salini!F7+Impresa!F7+Akkord!F7+Azerkorpu!F7+'Summury Todini'!F7</f>
        <v>6206.336459839253</v>
      </c>
      <c r="G7" s="677">
        <f>Salini!G7+Impresa!G7+Akkord!G7+Azerkorpu!G7+'Summury Todini'!G7</f>
        <v>753.795</v>
      </c>
      <c r="H7" s="677">
        <f>Salini!H7+Impresa!H7+Akkord!H7+Azerkorpu!H7+'Summury Todini'!H7</f>
        <v>5427.541452339253</v>
      </c>
      <c r="I7" s="677">
        <f>Salini!I7+Impresa!I7+Akkord!I7+Azerkorpu!I7+'Summury Todini'!I7</f>
        <v>726.61</v>
      </c>
      <c r="J7" s="678">
        <f>Salini!J7+Impresa!J7+Akkord!J7+Azerkorpu!J7+'Summury Todini'!J7</f>
        <v>662.092</v>
      </c>
      <c r="K7" s="677">
        <f>Salini!K7+Impresa!K7+Akkord!K7+Azerkorpu!K7+'Summury Todini'!K7</f>
        <v>509.55359563464447</v>
      </c>
      <c r="L7" s="677">
        <f>Salini!L7+Impresa!L7+Akkord!L7+Azerkorpu!L7+'Summury Todini'!L7</f>
        <v>626.7835956346444</v>
      </c>
      <c r="M7" s="677">
        <f>Salini!M7+Impresa!M7+Akkord!M7+Azerkorpu!M7+'Summury Todini'!M7</f>
        <v>691.7617444444444</v>
      </c>
      <c r="N7" s="677">
        <f>Salini!N7+Impresa!N7+Akkord!N7+Azerkorpu!N7+'Summury Todini'!N7</f>
        <v>685.8831492052444</v>
      </c>
      <c r="O7" s="677">
        <f>Salini!O7+Impresa!O7+Akkord!O7+Azerkorpu!O7+'Summury Todini'!O7</f>
        <v>687.8457444444443</v>
      </c>
      <c r="P7" s="677">
        <f>Salini!P7+Impresa!P7+Akkord!P7+Azerkorpu!P7+'Summury Todini'!P7</f>
        <v>496.27574444444446</v>
      </c>
      <c r="Q7" s="677">
        <f>Salini!Q7+Impresa!Q7+Akkord!Q7+Azerkorpu!Q7+'Summury Todini'!Q7</f>
        <v>496.3757444444444</v>
      </c>
      <c r="R7" s="677">
        <f>Salini!R7+Impresa!R7+Akkord!R7+Azerkorpu!R7+'Summury Todini'!R7</f>
        <v>391.9953</v>
      </c>
      <c r="S7" s="677">
        <f>Salini!S7+Impresa!S7+Akkord!S7+Azerkorpu!S7+'Summury Todini'!S7</f>
        <v>250.82</v>
      </c>
      <c r="T7" s="677">
        <f>Salini!T7+Impresa!T7+Akkord!T7+Azerkorpu!T7+'Summury Todini'!T7</f>
        <v>0</v>
      </c>
      <c r="U7" s="677">
        <f>Salini!U7+Impresa!U7+Akkord!U7+Azerkorpu!U7+'Summury Todini'!U7</f>
        <v>0</v>
      </c>
      <c r="V7" s="4"/>
      <c r="W7" s="4"/>
      <c r="X7" s="4"/>
      <c r="Y7" s="3"/>
    </row>
    <row r="8" spans="1:25" ht="21" customHeight="1" thickBot="1">
      <c r="A8" s="454"/>
      <c r="B8" s="455" t="s">
        <v>20</v>
      </c>
      <c r="C8" s="23" t="s">
        <v>19</v>
      </c>
      <c r="D8" s="676">
        <f>Salini!D8+Impresa!D8+Akkord!D8+Azerkorpu!D8+'Summury Todini'!D8</f>
        <v>5328.953833082705</v>
      </c>
      <c r="E8" s="676">
        <f>Salini!E8+Impresa!E8+Akkord!E8+Azerkorpu!E8+'Summury Todini'!E8</f>
        <v>2694.7919507434517</v>
      </c>
      <c r="F8" s="676">
        <f>Salini!F8+Impresa!F8+Akkord!F8+Azerkorpu!F8+'Summury Todini'!F8</f>
        <v>2844.577329839253</v>
      </c>
      <c r="G8" s="676">
        <f>Salini!G8+Impresa!G8+Akkord!G8+Azerkorpu!G8+'Summury Todini'!G8</f>
        <v>397.08700000000005</v>
      </c>
      <c r="H8" s="676">
        <f>Salini!H8+Impresa!H8+Akkord!H8+Azerkorpu!H8+'Summury Todini'!H8</f>
        <v>2402.4898823392527</v>
      </c>
      <c r="I8" s="676">
        <f>Salini!I8+Impresa!I8+Akkord!I8+Azerkorpu!I8+'Summury Todini'!I8</f>
        <v>410.1</v>
      </c>
      <c r="J8" s="678">
        <f>Salini!J8+Impresa!J8+Akkord!J8+Azerkorpu!J8+'Summury Todini'!J8</f>
        <v>312.12</v>
      </c>
      <c r="K8" s="676">
        <f>Salini!K8+Impresa!K8+Akkord!K8+Azerkorpu!K8+'Summury Todini'!K8</f>
        <v>282.3881511902</v>
      </c>
      <c r="L8" s="676">
        <f>Salini!L8+Impresa!L8+Akkord!L8+Azerkorpu!L8+'Summury Todini'!L8</f>
        <v>288.6181511902</v>
      </c>
      <c r="M8" s="676">
        <f>Salini!M8+Impresa!M8+Akkord!M8+Azerkorpu!M8+'Summury Todini'!M8</f>
        <v>303.0263</v>
      </c>
      <c r="N8" s="676">
        <f>Salini!N8+Impresa!N8+Akkord!N8+Azerkorpu!N8+'Summury Todini'!N8</f>
        <v>281.4063</v>
      </c>
      <c r="O8" s="676">
        <f>Salini!O8+Impresa!O8+Akkord!O8+Azerkorpu!O8+'Summury Todini'!O8</f>
        <v>258.0253</v>
      </c>
      <c r="P8" s="676">
        <f>Salini!P8+Impresa!P8+Akkord!P8+Azerkorpu!P8+'Summury Todini'!P8</f>
        <v>225.67329999999998</v>
      </c>
      <c r="Q8" s="676">
        <f>Salini!Q8+Impresa!Q8+Akkord!Q8+Azerkorpu!Q8+'Summury Todini'!Q8</f>
        <v>213.68829999999997</v>
      </c>
      <c r="R8" s="676">
        <f>Salini!R8+Impresa!R8+Akkord!R8+Azerkorpu!R8+'Summury Todini'!R8</f>
        <v>209.9783</v>
      </c>
      <c r="S8" s="676">
        <f>Salini!S8+Impresa!S8+Akkord!S8+Azerkorpu!S8+'Summury Todini'!S8</f>
        <v>141.465</v>
      </c>
      <c r="T8" s="676">
        <f>Salini!T8+Impresa!T8+Akkord!T8+Azerkorpu!T8+'Summury Todini'!T8</f>
        <v>0</v>
      </c>
      <c r="U8" s="676">
        <f>Salini!U8+Impresa!U8+Akkord!U8+Azerkorpu!U8+'Summury Todini'!U8</f>
        <v>0</v>
      </c>
      <c r="V8" s="4"/>
      <c r="W8" s="4"/>
      <c r="X8" s="4"/>
      <c r="Y8" s="3"/>
    </row>
    <row r="9" spans="1:25" ht="24" customHeight="1" thickBot="1">
      <c r="A9" s="454"/>
      <c r="B9" s="455" t="s">
        <v>21</v>
      </c>
      <c r="C9" s="23" t="s">
        <v>19</v>
      </c>
      <c r="D9" s="676">
        <f>Salini!D9+Impresa!D9+Akkord!D9+Azerkorpu!D9+'Summury Todini'!D9</f>
        <v>5836.5925</v>
      </c>
      <c r="E9" s="676">
        <f>Salini!E9+Impresa!E9+Akkord!E9+Azerkorpu!E9+'Summury Todini'!E9</f>
        <v>3231.21493</v>
      </c>
      <c r="F9" s="676">
        <f>Salini!F9+Impresa!F9+Akkord!F9+Azerkorpu!F9+'Summury Todini'!F9</f>
        <v>2888.60513</v>
      </c>
      <c r="G9" s="676">
        <f>Salini!G9+Impresa!G9+Akkord!G9+Azerkorpu!G9+'Summury Todini'!G9</f>
        <v>323.908</v>
      </c>
      <c r="H9" s="676">
        <f>Salini!H9+Impresa!H9+Akkord!H9+Azerkorpu!H9+'Summury Todini'!H9</f>
        <v>2468.99357</v>
      </c>
      <c r="I9" s="676">
        <f>Salini!I9+Impresa!I9+Akkord!I9+Azerkorpu!I9+'Summury Todini'!I9</f>
        <v>381.23</v>
      </c>
      <c r="J9" s="678">
        <f>Salini!J9+Impresa!J9+Akkord!J9+Azerkorpu!J9+'Summury Todini'!J9</f>
        <v>328.184</v>
      </c>
      <c r="K9" s="676">
        <f>Salini!K9+Impresa!K9+Akkord!K9+Azerkorpu!K9+'Summury Todini'!K9</f>
        <v>220.22544444444443</v>
      </c>
      <c r="L9" s="676">
        <f>Salini!L9+Impresa!L9+Akkord!L9+Azerkorpu!L9+'Summury Todini'!L9</f>
        <v>339.24544444444444</v>
      </c>
      <c r="M9" s="676">
        <f>Salini!M9+Impresa!M9+Akkord!M9+Azerkorpu!M9+'Summury Todini'!M9</f>
        <v>320.00544444444444</v>
      </c>
      <c r="N9" s="676">
        <f>Salini!N9+Impresa!N9+Akkord!N9+Azerkorpu!N9+'Summury Todini'!N9</f>
        <v>280.10644444444443</v>
      </c>
      <c r="O9" s="676">
        <f>Salini!O9+Impresa!O9+Akkord!O9+Azerkorpu!O9+'Summury Todini'!O9</f>
        <v>299.03544444444447</v>
      </c>
      <c r="P9" s="676">
        <f>Salini!P9+Impresa!P9+Akkord!P9+Azerkorpu!P9+'Summury Todini'!P9</f>
        <v>215.31544444444444</v>
      </c>
      <c r="Q9" s="676">
        <f>Salini!Q9+Impresa!Q9+Akkord!Q9+Azerkorpu!Q9+'Summury Todini'!Q9</f>
        <v>198.31544444444444</v>
      </c>
      <c r="R9" s="676">
        <f>Salini!R9+Impresa!R9+Akkord!R9+Azerkorpu!R9+'Summury Todini'!R9</f>
        <v>127.21</v>
      </c>
      <c r="S9" s="676">
        <f>Salini!S9+Impresa!S9+Akkord!S9+Azerkorpu!S9+'Summury Todini'!S9</f>
        <v>79.2</v>
      </c>
      <c r="T9" s="676">
        <f>Salini!T9+Impresa!T9+Akkord!T9+Azerkorpu!T9+'Summury Todini'!T9</f>
        <v>0</v>
      </c>
      <c r="U9" s="676">
        <f>Salini!U9+Impresa!U9+Akkord!U9+Azerkorpu!U9+'Summury Todini'!U9</f>
        <v>0</v>
      </c>
      <c r="V9" s="4"/>
      <c r="W9" s="4"/>
      <c r="X9" s="4"/>
      <c r="Y9" s="3"/>
    </row>
    <row r="10" spans="1:25" ht="24" customHeight="1" thickBot="1">
      <c r="A10" s="459">
        <v>2</v>
      </c>
      <c r="B10" s="32" t="s">
        <v>22</v>
      </c>
      <c r="C10" s="604" t="s">
        <v>19</v>
      </c>
      <c r="D10" s="677">
        <f>Salini!D10+Impresa!D10+Akkord!D10+Azerkorpu!D10+'Summury Todini'!D10</f>
        <v>1805.3343239699248</v>
      </c>
      <c r="E10" s="677">
        <f>Salini!E10+Impresa!E10+Akkord!E10+Azerkorpu!E10+'Summury Todini'!E10</f>
        <v>628.6660696892143</v>
      </c>
      <c r="F10" s="677">
        <f>Salini!F10+Impresa!F10+Akkord!F10+Azerkorpu!F10+'Summury Todini'!F10</f>
        <v>1060.8946989357105</v>
      </c>
      <c r="G10" s="677">
        <f>Salini!G10+Impresa!G10+Akkord!G10+Azerkorpu!G10+'Summury Todini'!G10</f>
        <v>148.89</v>
      </c>
      <c r="H10" s="677">
        <f>Salini!H10+Impresa!H10+Akkord!H10+Azerkorpu!H10+'Summury Todini'!H10</f>
        <v>992.0042542807104</v>
      </c>
      <c r="I10" s="677">
        <f>Salini!I10+Impresa!I10+Akkord!I10+Azerkorpu!I10+'Summury Todini'!I10</f>
        <v>87.36000000000001</v>
      </c>
      <c r="J10" s="678">
        <f>Salini!J10+Impresa!J10+Akkord!J10+Azerkorpu!J10+'Summury Todini'!J10</f>
        <v>51.0315</v>
      </c>
      <c r="K10" s="677">
        <f>Salini!K10+Impresa!K10+Akkord!K10+Azerkorpu!K10+'Summury Todini'!K10</f>
        <v>53.04859999999999</v>
      </c>
      <c r="L10" s="677">
        <f>Salini!L10+Impresa!L10+Akkord!L10+Azerkorpu!L10+'Summury Todini'!L10</f>
        <v>110.4396</v>
      </c>
      <c r="M10" s="677">
        <f>Salini!M10+Impresa!M10+Akkord!M10+Azerkorpu!M10+'Summury Todini'!M10</f>
        <v>174.58859999999999</v>
      </c>
      <c r="N10" s="677">
        <f>Salini!N10+Impresa!N10+Akkord!N10+Azerkorpu!N10+'Summury Todini'!N10</f>
        <v>196.64260000000002</v>
      </c>
      <c r="O10" s="677">
        <f>Salini!O10+Impresa!O10+Akkord!O10+Azerkorpu!O10+'Summury Todini'!O10</f>
        <v>172.9286</v>
      </c>
      <c r="P10" s="677">
        <f>Salini!P10+Impresa!P10+Akkord!P10+Azerkorpu!P10+'Summury Todini'!P10</f>
        <v>98.8156</v>
      </c>
      <c r="Q10" s="677">
        <f>Salini!Q10+Impresa!Q10+Akkord!Q10+Azerkorpu!Q10+'Summury Todini'!Q10</f>
        <v>80.2056</v>
      </c>
      <c r="R10" s="677">
        <f>Salini!R10+Impresa!R10+Akkord!R10+Azerkorpu!R10+'Summury Todini'!R10</f>
        <v>49.340599999999995</v>
      </c>
      <c r="S10" s="677">
        <f>Salini!S10+Impresa!S10+Akkord!S10+Azerkorpu!S10+'Summury Todini'!S10</f>
        <v>30.155</v>
      </c>
      <c r="T10" s="677">
        <f>Salini!T10+Impresa!T10+Akkord!T10+Azerkorpu!T10+'Summury Todini'!T10</f>
        <v>0</v>
      </c>
      <c r="U10" s="677">
        <f>Salini!U10+Impresa!U10+Akkord!U10+Azerkorpu!U10+'Summury Todini'!U10</f>
        <v>0</v>
      </c>
      <c r="V10" s="4"/>
      <c r="W10" s="4"/>
      <c r="X10" s="4"/>
      <c r="Y10" s="3"/>
    </row>
    <row r="11" spans="1:25" ht="22.5" customHeight="1" thickBot="1">
      <c r="A11" s="460">
        <v>3</v>
      </c>
      <c r="B11" s="33" t="s">
        <v>23</v>
      </c>
      <c r="C11" s="22" t="s">
        <v>19</v>
      </c>
      <c r="D11" s="676">
        <f>Salini!D11+Impresa!D11+Akkord!D11+Azerkorpu!D11+'Summury Todini'!D11</f>
        <v>559.90744375</v>
      </c>
      <c r="E11" s="676">
        <f>Salini!E11+Impresa!E11+Akkord!E11+Azerkorpu!E11+'Summury Todini'!E11</f>
        <v>227.40699999999998</v>
      </c>
      <c r="F11" s="676">
        <f>Salini!F11+Impresa!F11+Akkord!F11+Azerkorpu!F11+'Summury Todini'!F11</f>
        <v>147.13044375</v>
      </c>
      <c r="G11" s="676">
        <f>Salini!G11+Impresa!G11+Akkord!G11+Azerkorpu!G11+'Summury Todini'!G11</f>
        <v>5.337</v>
      </c>
      <c r="H11" s="676">
        <f>Salini!H11+Impresa!H11+Akkord!H11+Azerkorpu!H11+'Summury Todini'!H11</f>
        <v>141.79299999999998</v>
      </c>
      <c r="I11" s="676">
        <f>Salini!I11+Impresa!I11+Akkord!I11+Azerkorpu!I11+'Summury Todini'!I11</f>
        <v>8</v>
      </c>
      <c r="J11" s="678">
        <f>Salini!J11+Impresa!J11+Akkord!J11+Azerkorpu!J11+'Summury Todini'!J11</f>
        <v>15</v>
      </c>
      <c r="K11" s="676">
        <f>Salini!K11+Impresa!K11+Akkord!K11+Azerkorpu!K11+'Summury Todini'!K11</f>
        <v>5</v>
      </c>
      <c r="L11" s="676">
        <f>Salini!L11+Impresa!L11+Akkord!L11+Azerkorpu!L11+'Summury Todini'!L11</f>
        <v>38.02</v>
      </c>
      <c r="M11" s="676">
        <f>Salini!M11+Impresa!M11+Akkord!M11+Azerkorpu!M11+'Summury Todini'!M11</f>
        <v>38.02</v>
      </c>
      <c r="N11" s="676">
        <f>Salini!N11+Impresa!N11+Akkord!N11+Azerkorpu!N11+'Summury Todini'!N11</f>
        <v>20.721999999999994</v>
      </c>
      <c r="O11" s="676">
        <f>Salini!O11+Impresa!O11+Akkord!O11+Azerkorpu!O11+'Summury Todini'!O11</f>
        <v>13.02</v>
      </c>
      <c r="P11" s="676">
        <f>Salini!P11+Impresa!P11+Akkord!P11+Azerkorpu!P11+'Summury Todini'!P11</f>
        <v>13.02</v>
      </c>
      <c r="Q11" s="676">
        <f>Salini!Q11+Impresa!Q11+Akkord!Q11+Azerkorpu!Q11+'Summury Todini'!Q11</f>
        <v>5.991</v>
      </c>
      <c r="R11" s="676">
        <f>Salini!R11+Impresa!R11+Akkord!R11+Azerkorpu!R11+'Summury Todini'!R11</f>
        <v>0</v>
      </c>
      <c r="S11" s="676">
        <f>Salini!S11+Impresa!S11+Akkord!S11+Azerkorpu!S11+'Summury Todini'!S11</f>
        <v>0</v>
      </c>
      <c r="T11" s="676">
        <f>Salini!T11+Impresa!T11+Akkord!T11+Azerkorpu!T11+'Summury Todini'!T11</f>
        <v>0</v>
      </c>
      <c r="U11" s="676">
        <f>Salini!U11+Impresa!U11+Akkord!U11+Azerkorpu!U11+'Summury Todini'!U11</f>
        <v>0</v>
      </c>
      <c r="V11" s="4"/>
      <c r="W11" s="4"/>
      <c r="X11" s="4"/>
      <c r="Y11" s="3"/>
    </row>
    <row r="12" spans="1:25" ht="22.5" customHeight="1" thickBot="1">
      <c r="A12" s="459">
        <v>4</v>
      </c>
      <c r="B12" s="32" t="s">
        <v>24</v>
      </c>
      <c r="C12" s="604" t="s">
        <v>19</v>
      </c>
      <c r="D12" s="677">
        <f>Salini!D12+Impresa!D12+Akkord!D12+Azerkorpu!D12+'Summury Todini'!D12</f>
        <v>8103.584340000001</v>
      </c>
      <c r="E12" s="677">
        <f>Salini!E12+Impresa!E12+Akkord!E12+Azerkorpu!E12+'Summury Todini'!E12</f>
        <v>4812.74996</v>
      </c>
      <c r="F12" s="677">
        <f>Salini!F12+Impresa!F12+Akkord!F12+Azerkorpu!F12+'Summury Todini'!F12</f>
        <v>3191.224052</v>
      </c>
      <c r="G12" s="677">
        <f>Salini!G12+Impresa!G12+Akkord!G12+Azerkorpu!G12+'Summury Todini'!G12</f>
        <v>405.9599999999999</v>
      </c>
      <c r="H12" s="677">
        <f>Salini!H12+Impresa!H12+Akkord!H12+Azerkorpu!H12+'Summury Todini'!H12</f>
        <v>2773.76404</v>
      </c>
      <c r="I12" s="677">
        <f>Salini!I12+Impresa!I12+Akkord!I12+Azerkorpu!I12+'Summury Todini'!I12</f>
        <v>422.24</v>
      </c>
      <c r="J12" s="678">
        <f>Salini!J12+Impresa!J12+Akkord!J12+Azerkorpu!J12+'Summury Todini'!J12</f>
        <v>243.76999999999998</v>
      </c>
      <c r="K12" s="677">
        <f>Salini!K12+Impresa!K12+Akkord!K12+Azerkorpu!K12+'Summury Todini'!K12</f>
        <v>300.729875</v>
      </c>
      <c r="L12" s="677">
        <f>Salini!L12+Impresa!L12+Akkord!L12+Azerkorpu!L12+'Summury Todini'!L12</f>
        <v>445.919875</v>
      </c>
      <c r="M12" s="677">
        <f>Salini!M12+Impresa!M12+Akkord!M12+Azerkorpu!M12+'Summury Todini'!M12</f>
        <v>401.919875</v>
      </c>
      <c r="N12" s="677">
        <f>Salini!N12+Impresa!N12+Akkord!N12+Azerkorpu!N12+'Summury Todini'!N12</f>
        <v>193.90887500000002</v>
      </c>
      <c r="O12" s="677">
        <f>Salini!O12+Impresa!O12+Akkord!O12+Azerkorpu!O12+'Summury Todini'!O12</f>
        <v>173.212875</v>
      </c>
      <c r="P12" s="677">
        <f>Salini!P12+Impresa!P12+Akkord!P12+Azerkorpu!P12+'Summury Todini'!P12</f>
        <v>78.519875</v>
      </c>
      <c r="Q12" s="677">
        <f>Salini!Q12+Impresa!Q12+Akkord!Q12+Azerkorpu!Q12+'Summury Todini'!Q12</f>
        <v>128.02</v>
      </c>
      <c r="R12" s="677">
        <f>Salini!R12+Impresa!R12+Akkord!R12+Azerkorpu!R12+'Summury Todini'!R12</f>
        <v>29.25</v>
      </c>
      <c r="S12" s="677">
        <f>Salini!S12+Impresa!S12+Akkord!S12+Azerkorpu!S12+'Summury Todini'!S12</f>
        <v>0</v>
      </c>
      <c r="T12" s="677">
        <f>Salini!T12+Impresa!T12+Akkord!T12+Azerkorpu!T12+'Summury Todini'!T12</f>
        <v>0</v>
      </c>
      <c r="U12" s="677">
        <f>Salini!U12+Impresa!U12+Akkord!U12+Azerkorpu!U12+'Summury Todini'!U12</f>
        <v>0</v>
      </c>
      <c r="V12" s="4"/>
      <c r="W12" s="4"/>
      <c r="X12" s="4"/>
      <c r="Y12" s="3"/>
    </row>
    <row r="13" spans="1:25" ht="20.25" customHeight="1" thickBot="1">
      <c r="A13" s="461">
        <v>5</v>
      </c>
      <c r="B13" s="34" t="s">
        <v>25</v>
      </c>
      <c r="C13" s="23" t="s">
        <v>19</v>
      </c>
      <c r="D13" s="676">
        <f>Salini!D13+Impresa!D13+Akkord!D13+Azerkorpu!D13+'Summury Todini'!D13</f>
        <v>793.6540634699925</v>
      </c>
      <c r="E13" s="676">
        <f>Salini!E13+Impresa!E13+Akkord!E13+Azerkorpu!E13+'Summury Todini'!E13</f>
        <v>197.489864725698</v>
      </c>
      <c r="F13" s="676">
        <f>Salini!F13+Impresa!F13+Akkord!F13+Azerkorpu!F13+'Summury Todini'!F13</f>
        <v>1227.6063962442947</v>
      </c>
      <c r="G13" s="676">
        <f>Salini!G13+Impresa!G13+Akkord!G13+Azerkorpu!G13+'Summury Todini'!G13</f>
        <v>67.978</v>
      </c>
      <c r="H13" s="676">
        <f>Salini!H13+Impresa!H13+Akkord!H13+Azerkorpu!H13+'Summury Todini'!H13</f>
        <v>1159.6281687442945</v>
      </c>
      <c r="I13" s="676">
        <f>Salini!I13+Impresa!I13+Akkord!I13+Azerkorpu!I13+'Summury Todini'!I13</f>
        <v>418.23</v>
      </c>
      <c r="J13" s="678">
        <f>Salini!J13+Impresa!J13+Akkord!J13+Azerkorpu!J13+'Summury Todini'!J13</f>
        <v>25.8</v>
      </c>
      <c r="K13" s="676">
        <f>Salini!K13+Impresa!K13+Akkord!K13+Azerkorpu!K13+'Summury Todini'!K13</f>
        <v>207.83155555555555</v>
      </c>
      <c r="L13" s="676">
        <f>Salini!L13+Impresa!L13+Akkord!L13+Azerkorpu!L13+'Summury Todini'!L13</f>
        <v>203.18155555555555</v>
      </c>
      <c r="M13" s="676">
        <f>Salini!M13+Impresa!M13+Akkord!M13+Azerkorpu!M13+'Summury Todini'!M13</f>
        <v>207.13155555555556</v>
      </c>
      <c r="N13" s="676">
        <f>Salini!N13+Impresa!N13+Akkord!N13+Azerkorpu!N13+'Summury Todini'!N13</f>
        <v>67.58155555555578</v>
      </c>
      <c r="O13" s="676">
        <f>Salini!O13+Impresa!O13+Akkord!O13+Azerkorpu!O13+'Summury Todini'!O13</f>
        <v>24.405555555555555</v>
      </c>
      <c r="P13" s="676">
        <f>Salini!P13+Impresa!P13+Akkord!P13+Azerkorpu!P13+'Summury Todini'!P13</f>
        <v>14.331555555555557</v>
      </c>
      <c r="Q13" s="676">
        <f>Salini!Q13+Impresa!Q13+Akkord!Q13+Azerkorpu!Q13+'Summury Todini'!Q13</f>
        <v>10.632555555555555</v>
      </c>
      <c r="R13" s="676">
        <f>Salini!R13+Impresa!R13+Akkord!R13+Azerkorpu!R13+'Summury Todini'!R13</f>
        <v>3.9125555555555556</v>
      </c>
      <c r="S13" s="676">
        <f>Salini!S13+Impresa!S13+Akkord!S13+Azerkorpu!S13+'Summury Todini'!S13</f>
        <v>2.441</v>
      </c>
      <c r="T13" s="676">
        <f>Salini!T13+Impresa!T13+Akkord!T13+Azerkorpu!T13+'Summury Todini'!T13</f>
        <v>0</v>
      </c>
      <c r="U13" s="676">
        <f>Salini!U13+Impresa!U13+Akkord!U13+Azerkorpu!U13+'Summury Todini'!U13</f>
        <v>0</v>
      </c>
      <c r="V13" s="4"/>
      <c r="W13" s="4"/>
      <c r="X13" s="4"/>
      <c r="Y13" s="3"/>
    </row>
    <row r="14" spans="1:24" ht="19.5" customHeight="1" thickBot="1">
      <c r="A14" s="459">
        <v>6</v>
      </c>
      <c r="B14" s="32" t="s">
        <v>26</v>
      </c>
      <c r="C14" s="604" t="s">
        <v>19</v>
      </c>
      <c r="D14" s="677">
        <f>Salini!D14+Impresa!D14+Akkord!D14+Azerkorpu!D14+'Summury Todini'!D14</f>
        <v>318.17992388723997</v>
      </c>
      <c r="E14" s="677">
        <f>Salini!E14+Impresa!E14+Akkord!E14+Azerkorpu!E14+'Summury Todini'!E14</f>
        <v>136.7768496223</v>
      </c>
      <c r="F14" s="677">
        <f>Salini!F14+Impresa!F14+Akkord!F14+Azerkorpu!F14+'Summury Todini'!F14</f>
        <v>191.31487134494</v>
      </c>
      <c r="G14" s="677">
        <f>Salini!G14+Impresa!G14+Akkord!G14+Azerkorpu!G14+'Summury Todini'!G14</f>
        <v>15.047</v>
      </c>
      <c r="H14" s="677">
        <f>Salini!H14+Impresa!H14+Akkord!H14+Azerkorpu!H14+'Summury Todini'!H14</f>
        <v>176.25807426494</v>
      </c>
      <c r="I14" s="677">
        <f>Salini!I14+Impresa!I14+Akkord!I14+Azerkorpu!I14+'Summury Todini'!I14</f>
        <v>7.859999999999999</v>
      </c>
      <c r="J14" s="678">
        <f>Salini!J14+Impresa!J14+Akkord!J14+Azerkorpu!J14+'Summury Todini'!J14</f>
        <v>6.4</v>
      </c>
      <c r="K14" s="677">
        <f>Salini!K14+Impresa!K14+Akkord!K14+Azerkorpu!K14+'Summury Todini'!K14</f>
        <v>7</v>
      </c>
      <c r="L14" s="677">
        <f>Salini!L14+Impresa!L14+Akkord!L14+Azerkorpu!L14+'Summury Todini'!L14</f>
        <v>16.975</v>
      </c>
      <c r="M14" s="677">
        <f>Salini!M14+Impresa!M14+Akkord!M14+Azerkorpu!M14+'Summury Todini'!M14</f>
        <v>21.453000000000003</v>
      </c>
      <c r="N14" s="677">
        <f>Salini!N14+Impresa!N14+Akkord!N14+Azerkorpu!N14+'Summury Todini'!N14</f>
        <v>24.945</v>
      </c>
      <c r="O14" s="677">
        <f>Salini!O14+Impresa!O14+Akkord!O14+Azerkorpu!O14+'Summury Todini'!O14</f>
        <v>28.465</v>
      </c>
      <c r="P14" s="677">
        <f>Salini!P14+Impresa!P14+Akkord!P14+Azerkorpu!P14+'Summury Todini'!P14</f>
        <v>25.235</v>
      </c>
      <c r="Q14" s="677">
        <f>Salini!Q14+Impresa!Q14+Akkord!Q14+Azerkorpu!Q14+'Summury Todini'!Q14</f>
        <v>20.05</v>
      </c>
      <c r="R14" s="677">
        <f>Salini!R14+Impresa!R14+Akkord!R14+Azerkorpu!R14+'Summury Todini'!R14</f>
        <v>17.473</v>
      </c>
      <c r="S14" s="677">
        <f>Salini!S14+Impresa!S14+Akkord!S14+Azerkorpu!S14+'Summury Todini'!S14</f>
        <v>8.879999999999999</v>
      </c>
      <c r="T14" s="677">
        <f>Salini!T14+Impresa!T14+Akkord!T14+Azerkorpu!T14+'Summury Todini'!T14</f>
        <v>0</v>
      </c>
      <c r="U14" s="677">
        <f>Salini!U14+Impresa!U14+Akkord!U14+Azerkorpu!U14+'Summury Todini'!U14</f>
        <v>0</v>
      </c>
      <c r="V14" s="4"/>
      <c r="W14" s="4"/>
      <c r="X14" s="4"/>
    </row>
    <row r="15" spans="1:25" ht="22.5" customHeight="1" thickBot="1">
      <c r="A15" s="461">
        <v>7</v>
      </c>
      <c r="B15" s="34" t="s">
        <v>27</v>
      </c>
      <c r="C15" s="23" t="s">
        <v>19</v>
      </c>
      <c r="D15" s="676">
        <f>Salini!D15+Impresa!D15+Akkord!D15+Azerkorpu!D15+'Summury Todini'!D15</f>
        <v>52.47</v>
      </c>
      <c r="E15" s="676">
        <f>Salini!E15+Impresa!E15+Akkord!E15+Azerkorpu!E15+'Summury Todini'!E15</f>
        <v>14.771</v>
      </c>
      <c r="F15" s="676">
        <f>Salini!F15+Impresa!F15+Akkord!F15+Azerkorpu!F15+'Summury Todini'!F15</f>
        <v>39.4</v>
      </c>
      <c r="G15" s="676">
        <f>Salini!G15+Impresa!G15+Akkord!G15+Azerkorpu!G15+'Summury Todini'!G15</f>
        <v>3.312</v>
      </c>
      <c r="H15" s="676">
        <f>Salini!H15+Impresa!H15+Akkord!H15+Azerkorpu!H15+'Summury Todini'!H15</f>
        <v>35.75</v>
      </c>
      <c r="I15" s="676">
        <f>Salini!I15+Impresa!I15+Akkord!I15+Azerkorpu!I15+'Summury Todini'!I15</f>
        <v>2.34</v>
      </c>
      <c r="J15" s="678">
        <f>Salini!J15+Impresa!J15+Akkord!J15+Azerkorpu!J15+'Summury Todini'!J15</f>
        <v>0.635</v>
      </c>
      <c r="K15" s="676">
        <f>Salini!K15+Impresa!K15+Akkord!K15+Azerkorpu!K15+'Summury Todini'!K15</f>
        <v>2.4366666666666665</v>
      </c>
      <c r="L15" s="676">
        <f>Salini!L15+Impresa!L15+Akkord!L15+Azerkorpu!L15+'Summury Todini'!L15</f>
        <v>3.1266666666666665</v>
      </c>
      <c r="M15" s="676">
        <f>Salini!M15+Impresa!M15+Akkord!M15+Azerkorpu!M15+'Summury Todini'!M15</f>
        <v>5.2700000000000005</v>
      </c>
      <c r="N15" s="676">
        <f>Salini!N15+Impresa!N15+Akkord!N15+Azerkorpu!N15+'Summury Todini'!N15</f>
        <v>4.763</v>
      </c>
      <c r="O15" s="676">
        <f>Salini!O15+Impresa!O15+Akkord!O15+Azerkorpu!O15+'Summury Todini'!O15</f>
        <v>4.68</v>
      </c>
      <c r="P15" s="676">
        <f>Salini!P15+Impresa!P15+Akkord!P15+Azerkorpu!P15+'Summury Todini'!P15</f>
        <v>4.35</v>
      </c>
      <c r="Q15" s="676">
        <f>Salini!Q15+Impresa!Q15+Akkord!Q15+Azerkorpu!Q15+'Summury Todini'!Q15</f>
        <v>3.15</v>
      </c>
      <c r="R15" s="676">
        <f>Salini!R15+Impresa!R15+Akkord!R15+Azerkorpu!R15+'Summury Todini'!R15</f>
        <v>2.5869999999999997</v>
      </c>
      <c r="S15" s="676">
        <f>Salini!S15+Impresa!S15+Akkord!S15+Azerkorpu!S15+'Summury Todini'!S15</f>
        <v>1</v>
      </c>
      <c r="T15" s="676">
        <f>Salini!T15+Impresa!T15+Akkord!T15+Azerkorpu!T15+'Summury Todini'!T15</f>
        <v>1</v>
      </c>
      <c r="U15" s="676">
        <f>Salini!U15+Impresa!U15+Akkord!U15+Azerkorpu!U15+'Summury Todini'!U15</f>
        <v>1</v>
      </c>
      <c r="V15" s="4"/>
      <c r="W15" s="4"/>
      <c r="X15" s="4"/>
      <c r="Y15" s="3"/>
    </row>
    <row r="16" spans="1:25" ht="20.25" customHeight="1" thickBot="1">
      <c r="A16" s="459">
        <v>8</v>
      </c>
      <c r="B16" s="603" t="s">
        <v>28</v>
      </c>
      <c r="C16" s="604" t="s">
        <v>29</v>
      </c>
      <c r="D16" s="677">
        <f>Salini!D16+Impresa!D16+Akkord!D16+Azerkorpu!D16+'Summury Todini'!D16</f>
        <v>81.91601</v>
      </c>
      <c r="E16" s="677">
        <f>Salini!E16+Impresa!E16+Akkord!E16+Azerkorpu!E16+'Summury Todini'!E16</f>
        <v>31.32947</v>
      </c>
      <c r="F16" s="677">
        <f>Salini!F16+Impresa!F16+Akkord!F16+Azerkorpu!F16+'Summury Todini'!F16</f>
        <v>43.047920000000005</v>
      </c>
      <c r="G16" s="677">
        <f>Salini!G16+Impresa!G16+Akkord!G16+Azerkorpu!G16+'Summury Todini'!G16</f>
        <v>6.5123</v>
      </c>
      <c r="H16" s="677">
        <f>Salini!H16+Impresa!H16+Akkord!H16+Azerkorpu!H16+'Summury Todini'!H16</f>
        <v>35.48579</v>
      </c>
      <c r="I16" s="677">
        <f>Salini!I16+Impresa!I16+Akkord!I16+Azerkorpu!I16+'Summury Todini'!I16</f>
        <v>11.39</v>
      </c>
      <c r="J16" s="678">
        <f>Salini!J16+Impresa!J16+Akkord!J16+Azerkorpu!J16+'Summury Todini'!J16</f>
        <v>3.8089999999999997</v>
      </c>
      <c r="K16" s="677">
        <f>Salini!K16+Impresa!K16+Akkord!K16+Azerkorpu!K16+'Summury Todini'!K16</f>
        <v>7.9270499999999995</v>
      </c>
      <c r="L16" s="677">
        <f>Salini!L16+Impresa!L16+Akkord!L16+Azerkorpu!L16+'Summury Todini'!L16</f>
        <v>6.793049999999999</v>
      </c>
      <c r="M16" s="677">
        <f>Salini!M16+Impresa!M16+Akkord!M16+Azerkorpu!M16+'Summury Todini'!M16</f>
        <v>4.20705</v>
      </c>
      <c r="N16" s="677">
        <f>Salini!N16+Impresa!N16+Akkord!N16+Azerkorpu!N16+'Summury Todini'!N16</f>
        <v>2.71705</v>
      </c>
      <c r="O16" s="677">
        <f>Salini!O16+Impresa!O16+Akkord!O16+Azerkorpu!O16+'Summury Todini'!O16</f>
        <v>1.609</v>
      </c>
      <c r="P16" s="677">
        <f>Salini!P16+Impresa!P16+Akkord!P16+Azerkorpu!P16+'Summury Todini'!P16</f>
        <v>1.4</v>
      </c>
      <c r="Q16" s="677">
        <f>Salini!Q16+Impresa!Q16+Akkord!Q16+Azerkorpu!Q16+'Summury Todini'!Q16</f>
        <v>0</v>
      </c>
      <c r="R16" s="677">
        <f>Salini!R16+Impresa!R16+Akkord!R16+Azerkorpu!R16+'Summury Todini'!R16</f>
        <v>0</v>
      </c>
      <c r="S16" s="677">
        <f>Salini!S16+Impresa!S16+Akkord!S16+Azerkorpu!S16+'Summury Todini'!S16</f>
        <v>0</v>
      </c>
      <c r="T16" s="677">
        <f>Salini!T16+Impresa!T16+Akkord!T16+Azerkorpu!T16+'Summury Todini'!T16</f>
        <v>0</v>
      </c>
      <c r="U16" s="677">
        <f>Salini!U16+Impresa!U16+Akkord!U16+Azerkorpu!U16+'Summury Todini'!U16</f>
        <v>0</v>
      </c>
      <c r="V16" s="4"/>
      <c r="W16" s="4"/>
      <c r="X16" s="4"/>
      <c r="Y16" s="3"/>
    </row>
    <row r="17" spans="1:25" ht="21.75" customHeight="1" thickBot="1">
      <c r="A17" s="461">
        <v>9</v>
      </c>
      <c r="B17" s="34" t="s">
        <v>30</v>
      </c>
      <c r="C17" s="23" t="s">
        <v>31</v>
      </c>
      <c r="D17" s="676">
        <f>Salini!D17+Impresa!D17+Akkord!D17+Azerkorpu!D17+'Summury Todini'!D17</f>
        <v>8788.669300000001</v>
      </c>
      <c r="E17" s="676">
        <f>Salini!E17+Impresa!E17+Akkord!E17+Azerkorpu!E17+'Summury Todini'!E17</f>
        <v>3568.85799</v>
      </c>
      <c r="F17" s="676">
        <f>Salini!F17+Impresa!F17+Akkord!F17+Azerkorpu!F17+'Summury Todini'!F17</f>
        <v>5036.65551</v>
      </c>
      <c r="G17" s="676">
        <f>Salini!G17+Impresa!G17+Akkord!G17+Azerkorpu!G17+'Summury Todini'!G17</f>
        <v>666.9269999999999</v>
      </c>
      <c r="H17" s="676">
        <f>Salini!H17+Impresa!H17+Akkord!H17+Azerkorpu!H17+'Summury Todini'!H17</f>
        <v>4369.728079999999</v>
      </c>
      <c r="I17" s="676">
        <f>Salini!I17+Impresa!I17+Akkord!I17+Azerkorpu!I17+'Summury Todini'!I17</f>
        <v>692.7375</v>
      </c>
      <c r="J17" s="678">
        <f>Salini!J17+Impresa!J17+Akkord!J17+Azerkorpu!J17+'Summury Todini'!J17</f>
        <v>181.414</v>
      </c>
      <c r="K17" s="676">
        <f>Salini!K17+Impresa!K17+Akkord!K17+Azerkorpu!K17+'Summury Todini'!K17</f>
        <v>582.6691283333334</v>
      </c>
      <c r="L17" s="676">
        <f>Salini!L17+Impresa!L17+Akkord!L17+Azerkorpu!L17+'Summury Todini'!L17</f>
        <v>811.0291283333333</v>
      </c>
      <c r="M17" s="676">
        <f>Salini!M17+Impresa!M17+Akkord!M17+Azerkorpu!M17+'Summury Todini'!M17</f>
        <v>656.5211283333333</v>
      </c>
      <c r="N17" s="676">
        <f>Salini!N17+Impresa!N17+Akkord!N17+Azerkorpu!N17+'Summury Todini'!N17</f>
        <v>710.5521283333333</v>
      </c>
      <c r="O17" s="676">
        <f>Salini!O17+Impresa!O17+Akkord!O17+Azerkorpu!O17+'Summury Todini'!O17</f>
        <v>512.0411283333333</v>
      </c>
      <c r="P17" s="676">
        <f>Salini!P17+Impresa!P17+Akkord!P17+Azerkorpu!P17+'Summury Todini'!P17</f>
        <v>365.9581283333333</v>
      </c>
      <c r="Q17" s="676">
        <f>Salini!Q17+Impresa!Q17+Akkord!Q17+Azerkorpu!Q17+'Summury Todini'!Q17</f>
        <v>20</v>
      </c>
      <c r="R17" s="676">
        <f>Salini!R17+Impresa!R17+Akkord!R17+Azerkorpu!R17+'Summury Todini'!R17</f>
        <v>15.219999999999999</v>
      </c>
      <c r="S17" s="676">
        <f>Salini!S17+Impresa!S17+Akkord!S17+Azerkorpu!S17+'Summury Todini'!S17</f>
        <v>3</v>
      </c>
      <c r="T17" s="676">
        <f>Salini!T17+Impresa!T17+Akkord!T17+Azerkorpu!T17+'Summury Todini'!T17</f>
        <v>0</v>
      </c>
      <c r="U17" s="676">
        <f>Salini!U17+Impresa!U17+Akkord!U17+Azerkorpu!U17+'Summury Todini'!U17</f>
        <v>0</v>
      </c>
      <c r="V17" s="4"/>
      <c r="W17" s="4"/>
      <c r="X17" s="4"/>
      <c r="Y17" s="3"/>
    </row>
    <row r="18" spans="1:25" ht="21.75" customHeight="1" thickBot="1">
      <c r="A18" s="461">
        <v>10</v>
      </c>
      <c r="B18" s="34" t="s">
        <v>75</v>
      </c>
      <c r="C18" s="23" t="s">
        <v>31</v>
      </c>
      <c r="D18" s="676">
        <f>Salini!D18+Impresa!D18+Akkord!D18+Azerkorpu!D18+'Summury Todini'!D18</f>
        <v>13865.43</v>
      </c>
      <c r="E18" s="676">
        <f>Salini!E18+Impresa!E18+Akkord!E18+Azerkorpu!E18+'Summury Todini'!E18</f>
        <v>486</v>
      </c>
      <c r="F18" s="676">
        <f>Salini!F18+Impresa!F18+Akkord!F18+Azerkorpu!F18+'Summury Todini'!F18</f>
        <v>12464.704</v>
      </c>
      <c r="G18" s="676">
        <f>Salini!G18+Impresa!G18+Akkord!G18+Azerkorpu!G18+'Summury Todini'!G18</f>
        <v>33.81</v>
      </c>
      <c r="H18" s="676">
        <f>Salini!H18+Impresa!H18+Akkord!H18+Azerkorpu!H18+'Summury Todini'!H18</f>
        <v>12430.894</v>
      </c>
      <c r="I18" s="676">
        <f>Salini!I18+Impresa!I18+Akkord!I18+Azerkorpu!I18+'Summury Todini'!I18</f>
        <v>160</v>
      </c>
      <c r="J18" s="678">
        <f>Salini!J18+Impresa!J18+Akkord!J18+Azerkorpu!J18+'Summury Todini'!J18</f>
        <v>0</v>
      </c>
      <c r="K18" s="676">
        <f>Salini!K18+Impresa!K18+Akkord!K18+Azerkorpu!K18+'Summury Todini'!K18</f>
        <v>160</v>
      </c>
      <c r="L18" s="676">
        <f>Salini!L18+Impresa!L18+Akkord!L18+Azerkorpu!L18+'Summury Todini'!L18</f>
        <v>160</v>
      </c>
      <c r="M18" s="676">
        <f>Salini!M18+Impresa!M18+Akkord!M18+Azerkorpu!M18+'Summury Todini'!M18</f>
        <v>1660</v>
      </c>
      <c r="N18" s="676">
        <f>Salini!N18+Impresa!N18+Akkord!N18+Azerkorpu!N18+'Summury Todini'!N18</f>
        <v>3011</v>
      </c>
      <c r="O18" s="676">
        <f>Salini!O18+Impresa!O18+Akkord!O18+Azerkorpu!O18+'Summury Todini'!O18</f>
        <v>3127.57</v>
      </c>
      <c r="P18" s="676">
        <f>Salini!P18+Impresa!P18+Akkord!P18+Azerkorpu!P18+'Summury Todini'!P18</f>
        <v>2622.21</v>
      </c>
      <c r="Q18" s="676">
        <f>Salini!Q18+Impresa!Q18+Akkord!Q18+Azerkorpu!Q18+'Summury Todini'!Q18</f>
        <v>1560.68</v>
      </c>
      <c r="R18" s="676">
        <f>Salini!R18+Impresa!R18+Akkord!R18+Azerkorpu!R18+'Summury Todini'!R18</f>
        <v>0</v>
      </c>
      <c r="S18" s="676">
        <f>Salini!S18+Impresa!S18+Akkord!S18+Azerkorpu!S18+'Summury Todini'!S18</f>
        <v>0</v>
      </c>
      <c r="T18" s="676">
        <f>Salini!T18+Impresa!T18+Akkord!T18+Azerkorpu!T18+'Summury Todini'!T18</f>
        <v>0</v>
      </c>
      <c r="U18" s="676">
        <f>Salini!U18+Impresa!U18+Akkord!U18+Azerkorpu!U18+'Summury Todini'!U18</f>
        <v>0</v>
      </c>
      <c r="V18" s="4"/>
      <c r="W18" s="4"/>
      <c r="X18" s="4"/>
      <c r="Y18" s="3"/>
    </row>
    <row r="19" spans="1:25" ht="21" customHeight="1" thickBot="1">
      <c r="A19" s="459">
        <v>11</v>
      </c>
      <c r="B19" s="603" t="s">
        <v>32</v>
      </c>
      <c r="C19" s="604" t="s">
        <v>2</v>
      </c>
      <c r="D19" s="677">
        <f>Salini!D19+Impresa!D19+Akkord!D19+Azerkorpu!D19+'Summury Todini'!D19</f>
        <v>14372.062699999999</v>
      </c>
      <c r="E19" s="677">
        <f>Salini!E19+Impresa!E19+Akkord!E19+Azerkorpu!E19+'Summury Todini'!E19</f>
        <v>1764</v>
      </c>
      <c r="F19" s="677">
        <f>Salini!F19+Impresa!F19+Akkord!F19+Azerkorpu!F19+'Summury Todini'!F19</f>
        <v>14557.072699999999</v>
      </c>
      <c r="G19" s="677">
        <f>Salini!G19+Impresa!G19+Akkord!G19+Azerkorpu!G19+'Summury Todini'!G19</f>
        <v>2781</v>
      </c>
      <c r="H19" s="677">
        <f>Salini!H19+Impresa!H19+Akkord!H19+Azerkorpu!H19+'Summury Todini'!H19</f>
        <v>11776.072699999999</v>
      </c>
      <c r="I19" s="677">
        <f>Salini!I19+Impresa!I19+Akkord!I19+Azerkorpu!I19+'Summury Todini'!I19</f>
        <v>90</v>
      </c>
      <c r="J19" s="678">
        <f>Salini!J19+Impresa!J19+Akkord!J19+Azerkorpu!J19+'Summury Todini'!J19</f>
        <v>0</v>
      </c>
      <c r="K19" s="677">
        <f>Salini!K19+Impresa!K19+Akkord!K19+Azerkorpu!K19+'Summury Todini'!K19</f>
        <v>60</v>
      </c>
      <c r="L19" s="677">
        <f>Salini!L19+Impresa!L19+Akkord!L19+Azerkorpu!L19+'Summury Todini'!L19</f>
        <v>601</v>
      </c>
      <c r="M19" s="677">
        <f>Salini!M19+Impresa!M19+Akkord!M19+Azerkorpu!M19+'Summury Todini'!M19</f>
        <v>2676.04</v>
      </c>
      <c r="N19" s="677">
        <f>Salini!N19+Impresa!N19+Akkord!N19+Azerkorpu!N19+'Summury Todini'!N19</f>
        <v>603.25</v>
      </c>
      <c r="O19" s="677">
        <f>Salini!O19+Impresa!O19+Akkord!O19+Azerkorpu!O19+'Summury Todini'!O19</f>
        <v>2379.77</v>
      </c>
      <c r="P19" s="677">
        <f>Salini!P19+Impresa!P19+Akkord!P19+Azerkorpu!P19+'Summury Todini'!P19</f>
        <v>3208.9900000000002</v>
      </c>
      <c r="Q19" s="677">
        <f>Salini!Q19+Impresa!Q19+Akkord!Q19+Azerkorpu!Q19+'Summury Todini'!Q19</f>
        <v>1800.011</v>
      </c>
      <c r="R19" s="677">
        <f>Salini!R19+Impresa!R19+Akkord!R19+Azerkorpu!R19+'Summury Todini'!R19</f>
        <v>357.01</v>
      </c>
      <c r="S19" s="677">
        <f>Salini!S19+Impresa!S19+Akkord!S19+Azerkorpu!S19+'Summury Todini'!S19</f>
        <v>0</v>
      </c>
      <c r="T19" s="677">
        <f>Salini!T19+Impresa!T19+Akkord!T19+Azerkorpu!T19+'Summury Todini'!T19</f>
        <v>0</v>
      </c>
      <c r="U19" s="677">
        <f>Salini!U19+Impresa!U19+Akkord!U19+Azerkorpu!U19+'Summury Todini'!U19</f>
        <v>0</v>
      </c>
      <c r="V19" s="4"/>
      <c r="W19" s="4"/>
      <c r="X19" s="4"/>
      <c r="Y19" s="3"/>
    </row>
    <row r="20" spans="1:25" ht="19.5" customHeight="1" thickBot="1">
      <c r="A20" s="461">
        <v>12</v>
      </c>
      <c r="B20" s="34" t="s">
        <v>33</v>
      </c>
      <c r="C20" s="23" t="s">
        <v>41</v>
      </c>
      <c r="D20" s="676">
        <f>Salini!D20+Impresa!D20+Akkord!D20+Azerkorpu!D20+'Summury Todini'!D20</f>
        <v>8341.722</v>
      </c>
      <c r="E20" s="676">
        <f>Salini!E20+Impresa!E20+Akkord!E20+Azerkorpu!E20+'Summury Todini'!E20</f>
        <v>228.02</v>
      </c>
      <c r="F20" s="676">
        <f>Salini!F20+Impresa!F20+Akkord!F20+Azerkorpu!F20+'Summury Todini'!F20</f>
        <v>4137.145</v>
      </c>
      <c r="G20" s="676">
        <f>Salini!G20+Impresa!G20+Akkord!G20+Azerkorpu!G20+'Summury Todini'!G20</f>
        <v>0</v>
      </c>
      <c r="H20" s="676">
        <f>Salini!H20+Impresa!H20+Akkord!H20+Azerkorpu!H20+'Summury Todini'!H20</f>
        <v>4137.145</v>
      </c>
      <c r="I20" s="676">
        <f>Salini!I20+Impresa!I20+Akkord!I20+Azerkorpu!I20+'Summury Todini'!I20</f>
        <v>0</v>
      </c>
      <c r="J20" s="678">
        <f>Salini!J20+Impresa!J20+Akkord!J20+Azerkorpu!J20+'Summury Todini'!J20</f>
        <v>280</v>
      </c>
      <c r="K20" s="676">
        <f>Salini!K20+Impresa!K20+Akkord!K20+Azerkorpu!K20+'Summury Todini'!K20</f>
        <v>200</v>
      </c>
      <c r="L20" s="676">
        <f>Salini!L20+Impresa!L20+Akkord!L20+Azerkorpu!L20+'Summury Todini'!L20</f>
        <v>200</v>
      </c>
      <c r="M20" s="676">
        <f>Salini!M20+Impresa!M20+Akkord!M20+Azerkorpu!M20+'Summury Todini'!M20</f>
        <v>234.4</v>
      </c>
      <c r="N20" s="676">
        <f>Salini!N20+Impresa!N20+Akkord!N20+Azerkorpu!N20+'Summury Todini'!N20</f>
        <v>738</v>
      </c>
      <c r="O20" s="676">
        <f>Salini!O20+Impresa!O20+Akkord!O20+Azerkorpu!O20+'Summury Todini'!O20</f>
        <v>921.1</v>
      </c>
      <c r="P20" s="676">
        <f>Salini!P20+Impresa!P20+Akkord!P20+Azerkorpu!P20+'Summury Todini'!P20</f>
        <v>946.48</v>
      </c>
      <c r="Q20" s="676">
        <f>Salini!Q20+Impresa!Q20+Akkord!Q20+Azerkorpu!Q20+'Summury Todini'!Q20</f>
        <v>897.165</v>
      </c>
      <c r="R20" s="676">
        <f>Salini!R20+Impresa!R20+Akkord!R20+Azerkorpu!R20+'Summury Todini'!R20</f>
        <v>0</v>
      </c>
      <c r="S20" s="676">
        <f>Salini!S20+Impresa!S20+Akkord!S20+Azerkorpu!S20+'Summury Todini'!S20</f>
        <v>0</v>
      </c>
      <c r="T20" s="676">
        <f>Salini!T20+Impresa!T20+Akkord!T20+Azerkorpu!T20+'Summury Todini'!T20</f>
        <v>0</v>
      </c>
      <c r="U20" s="676">
        <f>Salini!U20+Impresa!U20+Akkord!U20+Azerkorpu!U20+'Summury Todini'!U20</f>
        <v>0</v>
      </c>
      <c r="V20" s="4"/>
      <c r="W20" s="4"/>
      <c r="X20" s="4"/>
      <c r="Y20" s="3"/>
    </row>
    <row r="21" spans="1:25" ht="20.25" customHeight="1" thickBot="1">
      <c r="A21" s="461">
        <v>13</v>
      </c>
      <c r="B21" s="603" t="s">
        <v>34</v>
      </c>
      <c r="C21" s="604" t="s">
        <v>35</v>
      </c>
      <c r="D21" s="677">
        <f>Salini!D21+Impresa!D21+Akkord!D21+Azerkorpu!D21+'Summury Todini'!D21</f>
        <v>6009.68</v>
      </c>
      <c r="E21" s="677">
        <f>Salini!E21+Impresa!E21+Akkord!E21+Azerkorpu!E21+'Summury Todini'!E21</f>
        <v>0</v>
      </c>
      <c r="F21" s="677">
        <f>Salini!F21+Impresa!F21+Akkord!F21+Azerkorpu!F21+'Summury Todini'!F21</f>
        <v>22949.48</v>
      </c>
      <c r="G21" s="677">
        <f>Salini!G21+Impresa!G21+Akkord!G21+Azerkorpu!G21+'Summury Todini'!G21</f>
        <v>5074</v>
      </c>
      <c r="H21" s="677">
        <f>Salini!H21+Impresa!H21+Akkord!H21+Azerkorpu!H21+'Summury Todini'!H21</f>
        <v>5357.48</v>
      </c>
      <c r="I21" s="677">
        <f>Salini!I21+Impresa!I21+Akkord!I21+Azerkorpu!I21+'Summury Todini'!I21</f>
        <v>0</v>
      </c>
      <c r="J21" s="678">
        <f>Salini!J21+Impresa!J21+Akkord!J21+Azerkorpu!J21+'Summury Todini'!J21</f>
        <v>0</v>
      </c>
      <c r="K21" s="677">
        <f>Salini!K21+Impresa!K21+Akkord!K21+Azerkorpu!K21+'Summury Todini'!K21</f>
        <v>0</v>
      </c>
      <c r="L21" s="677">
        <f>Salini!L21+Impresa!L21+Akkord!L21+Azerkorpu!L21+'Summury Todini'!L21</f>
        <v>0</v>
      </c>
      <c r="M21" s="677">
        <f>Salini!M21+Impresa!M21+Akkord!M21+Azerkorpu!M21+'Summury Todini'!M21</f>
        <v>1020</v>
      </c>
      <c r="N21" s="677">
        <f>Salini!N21+Impresa!N21+Akkord!N21+Azerkorpu!N21+'Summury Todini'!N21</f>
        <v>1358.75</v>
      </c>
      <c r="O21" s="677">
        <f>Salini!O21+Impresa!O21+Akkord!O21+Azerkorpu!O21+'Summury Todini'!O21</f>
        <v>352.75</v>
      </c>
      <c r="P21" s="677">
        <f>Salini!P21+Impresa!P21+Akkord!P21+Azerkorpu!P21+'Summury Todini'!P21</f>
        <v>1475.23</v>
      </c>
      <c r="Q21" s="677">
        <f>Salini!Q21+Impresa!Q21+Akkord!Q21+Azerkorpu!Q21+'Summury Todini'!Q21</f>
        <v>877.75</v>
      </c>
      <c r="R21" s="677">
        <f>Salini!R21+Impresa!R21+Akkord!R21+Azerkorpu!R21+'Summury Todini'!R21</f>
        <v>273</v>
      </c>
      <c r="S21" s="677">
        <f>Salini!S21+Impresa!S21+Akkord!S21+Azerkorpu!S21+'Summury Todini'!S21</f>
        <v>0</v>
      </c>
      <c r="T21" s="677">
        <f>Salini!T21+Impresa!T21+Akkord!T21+Azerkorpu!T21+'Summury Todini'!T21</f>
        <v>0</v>
      </c>
      <c r="U21" s="677">
        <f>Salini!U21+Impresa!U21+Akkord!U21+Azerkorpu!U21+'Summury Todini'!U21</f>
        <v>0</v>
      </c>
      <c r="V21" s="4"/>
      <c r="W21" s="4"/>
      <c r="X21" s="4"/>
      <c r="Y21" s="3"/>
    </row>
    <row r="22" spans="1:25" ht="24" customHeight="1" thickBot="1">
      <c r="A22" s="459">
        <v>14</v>
      </c>
      <c r="B22" s="33" t="s">
        <v>36</v>
      </c>
      <c r="C22" s="22" t="s">
        <v>2</v>
      </c>
      <c r="D22" s="676">
        <f>Salini!D22+Impresa!D22+Akkord!D22+Azerkorpu!D22+'Summury Todini'!D22</f>
        <v>5368</v>
      </c>
      <c r="E22" s="676">
        <f>Salini!E22+Impresa!E22+Akkord!E22+Azerkorpu!E22+'Summury Todini'!E22</f>
        <v>1149</v>
      </c>
      <c r="F22" s="676">
        <f>Salini!F22+Impresa!F22+Akkord!F22+Azerkorpu!F22+'Summury Todini'!F22</f>
        <v>3967</v>
      </c>
      <c r="G22" s="676">
        <f>Salini!G22+Impresa!G22+Akkord!G22+Azerkorpu!G22+'Summury Todini'!G22</f>
        <v>61</v>
      </c>
      <c r="H22" s="676">
        <f>Salini!H22+Impresa!H22+Akkord!H22+Azerkorpu!H22+'Summury Todini'!H22</f>
        <v>3334</v>
      </c>
      <c r="I22" s="676">
        <f>Salini!I22+Impresa!I22+Akkord!I22+Azerkorpu!I22+'Summury Todini'!I22</f>
        <v>100</v>
      </c>
      <c r="J22" s="678">
        <f>Salini!J22+Impresa!J22+Akkord!J22+Azerkorpu!J22+'Summury Todini'!J22</f>
        <v>0</v>
      </c>
      <c r="K22" s="676">
        <f>Salini!K22+Impresa!K22+Akkord!K22+Azerkorpu!K22+'Summury Todini'!K22</f>
        <v>450</v>
      </c>
      <c r="L22" s="676">
        <f>Salini!L22+Impresa!L22+Akkord!L22+Azerkorpu!L22+'Summury Todini'!L22</f>
        <v>342</v>
      </c>
      <c r="M22" s="676">
        <f>Salini!M22+Impresa!M22+Akkord!M22+Azerkorpu!M22+'Summury Todini'!M22</f>
        <v>264</v>
      </c>
      <c r="N22" s="676">
        <f>Salini!N22+Impresa!N22+Akkord!N22+Azerkorpu!N22+'Summury Todini'!N22</f>
        <v>50</v>
      </c>
      <c r="O22" s="676">
        <f>Salini!O22+Impresa!O22+Akkord!O22+Azerkorpu!O22+'Summury Todini'!O22</f>
        <v>99</v>
      </c>
      <c r="P22" s="676">
        <f>Salini!P22+Impresa!P22+Akkord!P22+Azerkorpu!P22+'Summury Todini'!P22</f>
        <v>1127</v>
      </c>
      <c r="Q22" s="676">
        <f>Salini!Q22+Impresa!Q22+Akkord!Q22+Azerkorpu!Q22+'Summury Todini'!Q22</f>
        <v>780</v>
      </c>
      <c r="R22" s="676">
        <f>Salini!R22+Impresa!R22+Akkord!R22+Azerkorpu!R22+'Summury Todini'!R22</f>
        <v>122</v>
      </c>
      <c r="S22" s="676">
        <f>Salini!S22+Impresa!S22+Akkord!S22+Azerkorpu!S22+'Summury Todini'!S22</f>
        <v>0</v>
      </c>
      <c r="T22" s="676">
        <f>Salini!T22+Impresa!T22+Akkord!T22+Azerkorpu!T22+'Summury Todini'!T22</f>
        <v>0</v>
      </c>
      <c r="U22" s="676">
        <f>Salini!U22+Impresa!U22+Akkord!U22+Azerkorpu!U22+'Summury Todini'!U22</f>
        <v>0</v>
      </c>
      <c r="V22" s="4"/>
      <c r="W22" s="4"/>
      <c r="X22" s="4"/>
      <c r="Y22" s="5"/>
    </row>
    <row r="23" spans="1:25" ht="20.25" customHeight="1" thickBot="1">
      <c r="A23" s="461">
        <v>15</v>
      </c>
      <c r="B23" s="603" t="s">
        <v>37</v>
      </c>
      <c r="C23" s="604" t="s">
        <v>2</v>
      </c>
      <c r="D23" s="677">
        <f>Salini!D23+Impresa!D23+Akkord!D23+Azerkorpu!D23+'Summury Todini'!D23</f>
        <v>238179</v>
      </c>
      <c r="E23" s="677">
        <f>Salini!E23+Impresa!E23+Akkord!E23+Azerkorpu!E23+'Summury Todini'!E23</f>
        <v>145341.5</v>
      </c>
      <c r="F23" s="677">
        <f>Salini!F23+Impresa!F23+Akkord!F23+Azerkorpu!F23+'Summury Todini'!F23</f>
        <v>196781.5</v>
      </c>
      <c r="G23" s="677">
        <f>Salini!G23+Impresa!G23+Akkord!G23+Azerkorpu!G23+'Summury Todini'!G23</f>
        <v>108157</v>
      </c>
      <c r="H23" s="677">
        <f>Salini!H23+Impresa!H23+Akkord!H23+Azerkorpu!H23+'Summury Todini'!H23</f>
        <v>55694.5</v>
      </c>
      <c r="I23" s="677">
        <f>Salini!I23+Impresa!I23+Akkord!I23+Azerkorpu!I23+'Summury Todini'!I23</f>
        <v>0</v>
      </c>
      <c r="J23" s="678">
        <f>Salini!J23+Impresa!J23+Akkord!J23+Azerkorpu!J23+'Summury Todini'!J23</f>
        <v>76077</v>
      </c>
      <c r="K23" s="677">
        <f>Salini!K23+Impresa!K23+Akkord!K23+Azerkorpu!K23+'Summury Todini'!K23</f>
        <v>0</v>
      </c>
      <c r="L23" s="677">
        <f>Salini!L23+Impresa!L23+Akkord!L23+Azerkorpu!L23+'Summury Todini'!L23</f>
        <v>44</v>
      </c>
      <c r="M23" s="677">
        <f>Salini!M23+Impresa!M23+Akkord!M23+Azerkorpu!M23+'Summury Todini'!M23</f>
        <v>9397.333333333334</v>
      </c>
      <c r="N23" s="677">
        <f>Salini!N23+Impresa!N23+Akkord!N23+Azerkorpu!N23+'Summury Todini'!N23</f>
        <v>9398.333333333334</v>
      </c>
      <c r="O23" s="677">
        <f>Salini!O23+Impresa!O23+Akkord!O23+Azerkorpu!O23+'Summury Todini'!O23</f>
        <v>36307.833333333336</v>
      </c>
      <c r="P23" s="677">
        <f>Salini!P23+Impresa!P23+Akkord!P23+Azerkorpu!P23+'Summury Todini'!P23</f>
        <v>378</v>
      </c>
      <c r="Q23" s="677">
        <f>Salini!Q23+Impresa!Q23+Akkord!Q23+Azerkorpu!Q23+'Summury Todini'!Q23</f>
        <v>80</v>
      </c>
      <c r="R23" s="677">
        <f>Salini!R23+Impresa!R23+Akkord!R23+Azerkorpu!R23+'Summury Todini'!R23</f>
        <v>89</v>
      </c>
      <c r="S23" s="677">
        <f>Salini!S23+Impresa!S23+Akkord!S23+Azerkorpu!S23+'Summury Todini'!S23</f>
        <v>0</v>
      </c>
      <c r="T23" s="677">
        <f>Salini!T23+Impresa!T23+Akkord!T23+Azerkorpu!T23+'Summury Todini'!T23</f>
        <v>0</v>
      </c>
      <c r="U23" s="677">
        <f>Salini!U23+Impresa!U23+Akkord!U23+Azerkorpu!U23+'Summury Todini'!U23</f>
        <v>0</v>
      </c>
      <c r="V23" s="4"/>
      <c r="W23" s="4"/>
      <c r="X23" s="4"/>
      <c r="Y23" s="3"/>
    </row>
    <row r="24" spans="1:25" ht="24" customHeight="1" thickBot="1">
      <c r="A24" s="461">
        <v>16</v>
      </c>
      <c r="B24" s="33" t="s">
        <v>38</v>
      </c>
      <c r="C24" s="22" t="s">
        <v>35</v>
      </c>
      <c r="D24" s="676">
        <f>Salini!D24+Impresa!D24+Akkord!D24+Azerkorpu!D24+'Summury Todini'!D24</f>
        <v>78966</v>
      </c>
      <c r="E24" s="676">
        <f>Salini!E24+Impresa!E24+Akkord!E24+Azerkorpu!E24+'Summury Todini'!E24</f>
        <v>65542.4</v>
      </c>
      <c r="F24" s="676">
        <f>Salini!F24+Impresa!F24+Akkord!F24+Azerkorpu!F24+'Summury Todini'!F24</f>
        <v>64582</v>
      </c>
      <c r="G24" s="676">
        <f>Salini!G24+Impresa!G24+Akkord!G24+Azerkorpu!G24+'Summury Todini'!G24</f>
        <v>48788.8</v>
      </c>
      <c r="H24" s="676">
        <f>Salini!H24+Impresa!H24+Akkord!H24+Azerkorpu!H24+'Summury Todini'!H24</f>
        <v>12229.2</v>
      </c>
      <c r="I24" s="676">
        <f>Salini!I24+Impresa!I24+Akkord!I24+Azerkorpu!I24+'Summury Todini'!I24</f>
        <v>0</v>
      </c>
      <c r="J24" s="678">
        <f>Salini!J24+Impresa!J24+Akkord!J24+Azerkorpu!J24+'Summury Todini'!J24</f>
        <v>0</v>
      </c>
      <c r="K24" s="676">
        <f>Salini!K24+Impresa!K24+Akkord!K24+Azerkorpu!K24+'Summury Todini'!K24</f>
        <v>0</v>
      </c>
      <c r="L24" s="676">
        <f>Salini!L24+Impresa!L24+Akkord!L24+Azerkorpu!L24+'Summury Todini'!L24</f>
        <v>0</v>
      </c>
      <c r="M24" s="676">
        <f>Salini!M24+Impresa!M24+Akkord!M24+Azerkorpu!M24+'Summury Todini'!M24</f>
        <v>10642.2</v>
      </c>
      <c r="N24" s="676">
        <f>Salini!N24+Impresa!N24+Akkord!N24+Azerkorpu!N24+'Summury Todini'!N24</f>
        <v>853</v>
      </c>
      <c r="O24" s="676">
        <f>Salini!O24+Impresa!O24+Akkord!O24+Azerkorpu!O24+'Summury Todini'!O24</f>
        <v>60</v>
      </c>
      <c r="P24" s="676">
        <f>Salini!P24+Impresa!P24+Akkord!P24+Azerkorpu!P24+'Summury Todini'!P24</f>
        <v>330</v>
      </c>
      <c r="Q24" s="676">
        <f>Salini!Q24+Impresa!Q24+Akkord!Q24+Azerkorpu!Q24+'Summury Todini'!Q24</f>
        <v>344</v>
      </c>
      <c r="R24" s="676">
        <f>Salini!R24+Impresa!R24+Akkord!R24+Azerkorpu!R24+'Summury Todini'!R24</f>
        <v>0</v>
      </c>
      <c r="S24" s="676">
        <f>Salini!S24+Impresa!S24+Akkord!S24+Azerkorpu!S24+'Summury Todini'!S24</f>
        <v>0</v>
      </c>
      <c r="T24" s="676">
        <f>Salini!T24+Impresa!T24+Akkord!T24+Azerkorpu!T24+'Summury Todini'!T24</f>
        <v>0</v>
      </c>
      <c r="U24" s="676">
        <f>Salini!U24+Impresa!U24+Akkord!U24+Azerkorpu!U24+'Summury Todini'!U24</f>
        <v>0</v>
      </c>
      <c r="V24" s="4"/>
      <c r="W24" s="4"/>
      <c r="X24" s="4"/>
      <c r="Y24" s="3"/>
    </row>
    <row r="25" spans="1:25" ht="48" thickBot="1">
      <c r="A25" s="459">
        <v>17</v>
      </c>
      <c r="B25" s="603" t="s">
        <v>39</v>
      </c>
      <c r="C25" s="604" t="s">
        <v>2</v>
      </c>
      <c r="D25" s="677">
        <f>Salini!D25+Impresa!D25+Akkord!D25+Azerkorpu!D25+'Summury Todini'!D25</f>
        <v>62681.255999999994</v>
      </c>
      <c r="E25" s="677">
        <f>Salini!E25+Impresa!E25+Akkord!E25+Azerkorpu!E25+'Summury Todini'!E25</f>
        <v>59507</v>
      </c>
      <c r="F25" s="677">
        <f>Salini!F25+Impresa!F25+Akkord!F25+Azerkorpu!F25+'Summury Todini'!F25</f>
        <v>61128.8764</v>
      </c>
      <c r="G25" s="677">
        <f>Salini!G25+Impresa!G25+Akkord!G25+Azerkorpu!G25+'Summury Todini'!G25</f>
        <v>58763</v>
      </c>
      <c r="H25" s="677">
        <f>Salini!H25+Impresa!H25+Akkord!H25+Azerkorpu!H25+'Summury Todini'!H25</f>
        <v>2365.8764</v>
      </c>
      <c r="I25" s="677">
        <f>Salini!I25+Impresa!I25+Akkord!I25+Azerkorpu!I25+'Summury Todini'!I25</f>
        <v>0</v>
      </c>
      <c r="J25" s="678">
        <f>Salini!J25+Impresa!J25+Akkord!J25+Azerkorpu!J25+'Summury Todini'!J25</f>
        <v>0</v>
      </c>
      <c r="K25" s="677">
        <f>Salini!K25+Impresa!K25+Akkord!K25+Azerkorpu!K25+'Summury Todini'!K25</f>
        <v>0</v>
      </c>
      <c r="L25" s="677">
        <f>Salini!L25+Impresa!L25+Akkord!L25+Azerkorpu!L25+'Summury Todini'!L25</f>
        <v>0</v>
      </c>
      <c r="M25" s="677">
        <f>Salini!M25+Impresa!M25+Akkord!M25+Azerkorpu!M25+'Summury Todini'!M25</f>
        <v>69.26</v>
      </c>
      <c r="N25" s="677">
        <f>Salini!N25+Impresa!N25+Akkord!N25+Azerkorpu!N25+'Summury Todini'!N25</f>
        <v>118.02666666666667</v>
      </c>
      <c r="O25" s="677">
        <f>Salini!O25+Impresa!O25+Akkord!O25+Azerkorpu!O25+'Summury Todini'!O25</f>
        <v>388.4666666666667</v>
      </c>
      <c r="P25" s="677">
        <f>Salini!P25+Impresa!P25+Akkord!P25+Azerkorpu!P25+'Summury Todini'!P25</f>
        <v>1186.5666666666666</v>
      </c>
      <c r="Q25" s="677">
        <f>Salini!Q25+Impresa!Q25+Akkord!Q25+Azerkorpu!Q25+'Summury Todini'!Q25</f>
        <v>580</v>
      </c>
      <c r="R25" s="677">
        <f>Salini!R25+Impresa!R25+Akkord!R25+Azerkorpu!R25+'Summury Todini'!R25</f>
        <v>15</v>
      </c>
      <c r="S25" s="677">
        <f>Salini!S25+Impresa!S25+Akkord!S25+Azerkorpu!S25+'Summury Todini'!S25</f>
        <v>8.56</v>
      </c>
      <c r="T25" s="677">
        <f>Salini!T25+Impresa!T25+Akkord!T25+Azerkorpu!T25+'Summury Todini'!T25</f>
        <v>0</v>
      </c>
      <c r="U25" s="677">
        <f>Salini!U25+Impresa!U25+Akkord!U25+Azerkorpu!U25+'Summury Todini'!U25</f>
        <v>0</v>
      </c>
      <c r="V25" s="4"/>
      <c r="W25" s="4"/>
      <c r="X25" s="4"/>
      <c r="Y25" s="3"/>
    </row>
    <row r="26" spans="1:25" ht="22.5" customHeight="1" thickBot="1">
      <c r="A26" s="461">
        <v>18</v>
      </c>
      <c r="B26" s="33" t="s">
        <v>40</v>
      </c>
      <c r="C26" s="22" t="s">
        <v>41</v>
      </c>
      <c r="D26" s="676">
        <f>Salini!D26+Impresa!D26+Akkord!D26+Azerkorpu!D26+'Summury Todini'!D26</f>
        <v>195406.09999999998</v>
      </c>
      <c r="E26" s="676">
        <f>Salini!E26+Impresa!E26+Akkord!E26+Azerkorpu!E26+'Summury Todini'!E26</f>
        <v>256.3</v>
      </c>
      <c r="F26" s="676">
        <f>Salini!F26+Impresa!F26+Akkord!F26+Azerkorpu!F26+'Summury Todini'!F26</f>
        <v>864.453702</v>
      </c>
      <c r="G26" s="676">
        <f>Salini!G26+Impresa!G26+Akkord!G26+Azerkorpu!G26+'Summury Todini'!G26</f>
        <v>0</v>
      </c>
      <c r="H26" s="676">
        <f>Salini!H26+Impresa!H26+Akkord!H26+Azerkorpu!H26+'Summury Todini'!H26</f>
        <v>864.453702</v>
      </c>
      <c r="I26" s="676">
        <f>Salini!I26+Impresa!I26+Akkord!I26+Azerkorpu!I26+'Summury Todini'!I26</f>
        <v>0</v>
      </c>
      <c r="J26" s="678">
        <f>Salini!J26+Impresa!J26+Akkord!J26+Azerkorpu!J26+'Summury Todini'!J26</f>
        <v>0</v>
      </c>
      <c r="K26" s="676">
        <f>Salini!K26+Impresa!K26+Akkord!K26+Azerkorpu!K26+'Summury Todini'!K26</f>
        <v>0</v>
      </c>
      <c r="L26" s="676">
        <f>Salini!L26+Impresa!L26+Akkord!L26+Azerkorpu!L26+'Summury Todini'!L26</f>
        <v>0</v>
      </c>
      <c r="M26" s="676">
        <f>Salini!M26+Impresa!M26+Akkord!M26+Azerkorpu!M26+'Summury Todini'!M26</f>
        <v>0</v>
      </c>
      <c r="N26" s="676">
        <f>Salini!N26+Impresa!N26+Akkord!N26+Azerkorpu!N26+'Summury Todini'!N26</f>
        <v>0</v>
      </c>
      <c r="O26" s="676">
        <f>Salini!O26+Impresa!O26+Akkord!O26+Azerkorpu!O26+'Summury Todini'!O26</f>
        <v>164.6</v>
      </c>
      <c r="P26" s="676">
        <f>Salini!P26+Impresa!P26+Akkord!P26+Azerkorpu!P26+'Summury Todini'!P26</f>
        <v>539.4</v>
      </c>
      <c r="Q26" s="676">
        <f>Salini!Q26+Impresa!Q26+Akkord!Q26+Azerkorpu!Q26+'Summury Todini'!Q26</f>
        <v>160.453702</v>
      </c>
      <c r="R26" s="676">
        <f>Salini!R26+Impresa!R26+Akkord!R26+Azerkorpu!R26+'Summury Todini'!R26</f>
        <v>0</v>
      </c>
      <c r="S26" s="676">
        <f>Salini!S26+Impresa!S26+Akkord!S26+Azerkorpu!S26+'Summury Todini'!S26</f>
        <v>0</v>
      </c>
      <c r="T26" s="676">
        <f>Salini!T26+Impresa!T26+Akkord!T26+Azerkorpu!T26+'Summury Todini'!T26</f>
        <v>0</v>
      </c>
      <c r="U26" s="676">
        <f>Salini!U26+Impresa!U26+Akkord!U26+Azerkorpu!U26+'Summury Todini'!U26</f>
        <v>0</v>
      </c>
      <c r="V26" s="4"/>
      <c r="W26" s="4"/>
      <c r="X26" s="4"/>
      <c r="Y26" s="3"/>
    </row>
    <row r="27" spans="1:25" ht="23.25" customHeight="1" thickBot="1">
      <c r="A27" s="461">
        <v>19</v>
      </c>
      <c r="B27" s="33" t="s">
        <v>42</v>
      </c>
      <c r="C27" s="22" t="s">
        <v>41</v>
      </c>
      <c r="D27" s="676">
        <f>Salini!D27+Impresa!D27+Akkord!D27+Azerkorpu!D27+'Summury Todini'!D27</f>
        <v>281.4167124475</v>
      </c>
      <c r="E27" s="676">
        <f>Salini!E27+Impresa!E27+Akkord!E27+Azerkorpu!E27+'Summury Todini'!E27</f>
        <v>20.51316821085</v>
      </c>
      <c r="F27" s="676">
        <f>Salini!F27+Impresa!F27+Akkord!F27+Azerkorpu!F27+'Summury Todini'!F27</f>
        <v>218.18354423665</v>
      </c>
      <c r="G27" s="676">
        <f>Salini!G27+Impresa!G27+Akkord!G27+Azerkorpu!G27+'Summury Todini'!G27</f>
        <v>0</v>
      </c>
      <c r="H27" s="676">
        <f>Salini!H27+Impresa!H27+Akkord!H27+Azerkorpu!H27+'Summury Todini'!H27</f>
        <v>218.18354423665</v>
      </c>
      <c r="I27" s="676">
        <f>Salini!I27+Impresa!I27+Akkord!I27+Azerkorpu!I27+'Summury Todini'!I27</f>
        <v>0</v>
      </c>
      <c r="J27" s="678">
        <f>Salini!J27+Impresa!J27+Akkord!J27+Azerkorpu!J27+'Summury Todini'!J27</f>
        <v>0</v>
      </c>
      <c r="K27" s="676">
        <f>Salini!K27+Impresa!K27+Akkord!K27+Azerkorpu!K27+'Summury Todini'!K27</f>
        <v>0.673</v>
      </c>
      <c r="L27" s="676">
        <f>Salini!L27+Impresa!L27+Akkord!L27+Azerkorpu!L27+'Summury Todini'!L27</f>
        <v>0.1</v>
      </c>
      <c r="M27" s="676">
        <f>Salini!M27+Impresa!M27+Akkord!M27+Azerkorpu!M27+'Summury Todini'!M27</f>
        <v>0.304</v>
      </c>
      <c r="N27" s="676">
        <f>Salini!N27+Impresa!N27+Akkord!N27+Azerkorpu!N27+'Summury Todini'!N27</f>
        <v>0.72473452165</v>
      </c>
      <c r="O27" s="676">
        <f>Salini!O27+Impresa!O27+Akkord!O27+Azerkorpu!O27+'Summury Todini'!O27</f>
        <v>100.3315</v>
      </c>
      <c r="P27" s="676">
        <f>Salini!P27+Impresa!P27+Akkord!P27+Azerkorpu!P27+'Summury Todini'!P27</f>
        <v>116</v>
      </c>
      <c r="Q27" s="676">
        <f>Salini!Q27+Impresa!Q27+Akkord!Q27+Azerkorpu!Q27+'Summury Todini'!Q27</f>
        <v>0</v>
      </c>
      <c r="R27" s="676">
        <f>Salini!R27+Impresa!R27+Akkord!R27+Azerkorpu!R27+'Summury Todini'!R27</f>
        <v>0</v>
      </c>
      <c r="S27" s="676">
        <f>Salini!S27+Impresa!S27+Akkord!S27+Azerkorpu!S27+'Summury Todini'!S27</f>
        <v>0</v>
      </c>
      <c r="T27" s="676">
        <f>Salini!T27+Impresa!T27+Akkord!T27+Azerkorpu!T27+'Summury Todini'!T27</f>
        <v>0</v>
      </c>
      <c r="U27" s="676">
        <f>Salini!U27+Impresa!U27+Akkord!U27+Azerkorpu!U27+'Summury Todini'!U27</f>
        <v>0</v>
      </c>
      <c r="V27" s="4"/>
      <c r="W27" s="4"/>
      <c r="X27" s="4"/>
      <c r="Y27" s="3"/>
    </row>
    <row r="28" spans="1:25" ht="21" customHeight="1" thickBot="1">
      <c r="A28" s="459">
        <v>20</v>
      </c>
      <c r="B28" s="603" t="s">
        <v>43</v>
      </c>
      <c r="C28" s="604" t="s">
        <v>19</v>
      </c>
      <c r="D28" s="677">
        <f>Salini!D28+Impresa!D28+Akkord!D28+Azerkorpu!D28+'Summury Todini'!D28</f>
        <v>332.742</v>
      </c>
      <c r="E28" s="677">
        <f>Salini!E28+Impresa!E28+Akkord!E28+Azerkorpu!E28+'Summury Todini'!E28</f>
        <v>0</v>
      </c>
      <c r="F28" s="677" t="e">
        <f>Salini!F28+Impresa!F28+Akkord!F28+Azerkorpu!F28+'Summury Todini'!F28</f>
        <v>#VALUE!</v>
      </c>
      <c r="G28" s="677" t="e">
        <f>Salini!G28+Impresa!G28+Akkord!G28+Azerkorpu!G28+'Summury Todini'!G28</f>
        <v>#VALUE!</v>
      </c>
      <c r="H28" s="677">
        <f>Salini!H28+Impresa!H28+Akkord!H28+Azerkorpu!H28+'Summury Todini'!H28</f>
        <v>1.193</v>
      </c>
      <c r="I28" s="677">
        <f>Salini!I28+Impresa!I28+Akkord!I28+Azerkorpu!I28+'Summury Todini'!I28</f>
        <v>0</v>
      </c>
      <c r="J28" s="678">
        <f>Salini!J28+Impresa!J28+Akkord!J28+Azerkorpu!J28+'Summury Todini'!J28</f>
        <v>0</v>
      </c>
      <c r="K28" s="677">
        <f>Salini!K28+Impresa!K28+Akkord!K28+Azerkorpu!K28+'Summury Todini'!K28</f>
        <v>0</v>
      </c>
      <c r="L28" s="677">
        <f>Salini!L28+Impresa!L28+Akkord!L28+Azerkorpu!L28+'Summury Todini'!L28</f>
        <v>0</v>
      </c>
      <c r="M28" s="677">
        <f>Salini!M28+Impresa!M28+Akkord!M28+Azerkorpu!M28+'Summury Todini'!M28</f>
        <v>0</v>
      </c>
      <c r="N28" s="677">
        <f>Salini!N28+Impresa!N28+Akkord!N28+Azerkorpu!N28+'Summury Todini'!N28</f>
        <v>0.5</v>
      </c>
      <c r="O28" s="677">
        <f>Salini!O28+Impresa!O28+Akkord!O28+Azerkorpu!O28+'Summury Todini'!O28</f>
        <v>0.135</v>
      </c>
      <c r="P28" s="677">
        <f>Salini!P28+Impresa!P28+Akkord!P28+Azerkorpu!P28+'Summury Todini'!P28</f>
        <v>0.1</v>
      </c>
      <c r="Q28" s="677">
        <f>Salini!Q28+Impresa!Q28+Akkord!Q28+Azerkorpu!Q28+'Summury Todini'!Q28</f>
        <v>0</v>
      </c>
      <c r="R28" s="677">
        <f>Salini!R28+Impresa!R28+Akkord!R28+Azerkorpu!R28+'Summury Todini'!R28</f>
        <v>0</v>
      </c>
      <c r="S28" s="677">
        <f>Salini!S28+Impresa!S28+Akkord!S28+Azerkorpu!S28+'Summury Todini'!S28</f>
        <v>0</v>
      </c>
      <c r="T28" s="677">
        <f>Salini!T28+Impresa!T28+Akkord!T28+Azerkorpu!T28+'Summury Todini'!T28</f>
        <v>0</v>
      </c>
      <c r="U28" s="677">
        <f>Salini!U28+Impresa!U28+Akkord!U28+Azerkorpu!U28+'Summury Todini'!U28</f>
        <v>0</v>
      </c>
      <c r="V28" s="4"/>
      <c r="W28" s="4"/>
      <c r="X28" s="4"/>
      <c r="Y28" s="3"/>
    </row>
    <row r="29" spans="1:25" ht="25.5" customHeight="1" thickBot="1">
      <c r="A29" s="461">
        <v>21</v>
      </c>
      <c r="B29" s="33" t="s">
        <v>44</v>
      </c>
      <c r="C29" s="22" t="s">
        <v>45</v>
      </c>
      <c r="D29" s="676">
        <f>Salini!D29+Impresa!D29+Akkord!D29+Azerkorpu!D29+'Summury Todini'!D29</f>
        <v>25817.89</v>
      </c>
      <c r="E29" s="676">
        <f>Salini!E29+Impresa!E29+Akkord!E29+Azerkorpu!E29+'Summury Todini'!E29</f>
        <v>25117.89</v>
      </c>
      <c r="F29" s="676" t="e">
        <f>Salini!F29+Impresa!F29+Akkord!F29+Azerkorpu!F29+'Summury Todini'!F29</f>
        <v>#VALUE!</v>
      </c>
      <c r="G29" s="676" t="e">
        <f>Salini!G29+Impresa!G29+Akkord!G29+Azerkorpu!G29+'Summury Todini'!G29</f>
        <v>#VALUE!</v>
      </c>
      <c r="H29" s="676">
        <f>Salini!H29+Impresa!H29+Akkord!H29+Azerkorpu!H29+'Summury Todini'!H29</f>
        <v>700</v>
      </c>
      <c r="I29" s="676">
        <f>Salini!I29+Impresa!I29+Akkord!I29+Azerkorpu!I29+'Summury Todini'!I29</f>
        <v>0</v>
      </c>
      <c r="J29" s="678">
        <f>Salini!J29+Impresa!J29+Akkord!J29+Azerkorpu!J29+'Summury Todini'!J29</f>
        <v>0</v>
      </c>
      <c r="K29" s="676">
        <f>Salini!K29+Impresa!K29+Akkord!K29+Azerkorpu!K29+'Summury Todini'!K29</f>
        <v>700</v>
      </c>
      <c r="L29" s="676">
        <f>Salini!L29+Impresa!L29+Akkord!L29+Azerkorpu!L29+'Summury Todini'!L29</f>
        <v>0</v>
      </c>
      <c r="M29" s="676">
        <f>Salini!M29+Impresa!M29+Akkord!M29+Azerkorpu!M29+'Summury Todini'!M29</f>
        <v>0</v>
      </c>
      <c r="N29" s="676">
        <f>Salini!N29+Impresa!N29+Akkord!N29+Azerkorpu!N29+'Summury Todini'!N29</f>
        <v>0</v>
      </c>
      <c r="O29" s="676">
        <f>Salini!O29+Impresa!O29+Akkord!O29+Azerkorpu!O29+'Summury Todini'!O29</f>
        <v>0</v>
      </c>
      <c r="P29" s="676">
        <f>Salini!P29+Impresa!P29+Akkord!P29+Azerkorpu!P29+'Summury Todini'!P29</f>
        <v>0</v>
      </c>
      <c r="Q29" s="676">
        <f>Salini!Q29+Impresa!Q29+Akkord!Q29+Azerkorpu!Q29+'Summury Todini'!Q29</f>
        <v>0</v>
      </c>
      <c r="R29" s="676">
        <f>Salini!R29+Impresa!R29+Akkord!R29+Azerkorpu!R29+'Summury Todini'!R29</f>
        <v>0</v>
      </c>
      <c r="S29" s="676">
        <f>Salini!S29+Impresa!S29+Akkord!S29+Azerkorpu!S29+'Summury Todini'!S29</f>
        <v>0</v>
      </c>
      <c r="T29" s="676">
        <f>Salini!T29+Impresa!T29+Akkord!T29+Azerkorpu!T29+'Summury Todini'!T29</f>
        <v>0</v>
      </c>
      <c r="U29" s="676">
        <f>Salini!U29+Impresa!U29+Akkord!U29+Azerkorpu!U29+'Summury Todini'!U29</f>
        <v>0</v>
      </c>
      <c r="V29" s="4"/>
      <c r="W29" s="4"/>
      <c r="X29" s="4"/>
      <c r="Y29" s="3"/>
    </row>
    <row r="30" spans="1:25" ht="20.25" customHeight="1" thickBot="1">
      <c r="A30" s="461">
        <v>22</v>
      </c>
      <c r="B30" s="33" t="s">
        <v>46</v>
      </c>
      <c r="C30" s="22" t="s">
        <v>19</v>
      </c>
      <c r="D30" s="676">
        <f>Salini!D30+Impresa!D30+Akkord!D30+Azerkorpu!D30+'Summury Todini'!D30</f>
        <v>0</v>
      </c>
      <c r="E30" s="676">
        <f>Salini!E30+Impresa!E30+Akkord!E30+Azerkorpu!E30+'Summury Todini'!E30</f>
        <v>0</v>
      </c>
      <c r="F30" s="676" t="e">
        <f>Salini!F30+Impresa!F30+Akkord!F30+Azerkorpu!F30+'Summury Todini'!F30</f>
        <v>#VALUE!</v>
      </c>
      <c r="G30" s="676" t="e">
        <f>Salini!G30+Impresa!G30+Akkord!G30+Azerkorpu!G30+'Summury Todini'!G30</f>
        <v>#VALUE!</v>
      </c>
      <c r="H30" s="676">
        <f>Salini!H30+Impresa!H30+Akkord!H30+Azerkorpu!H30+'Summury Todini'!H30</f>
        <v>0</v>
      </c>
      <c r="I30" s="676">
        <f>Salini!I30+Impresa!I30+Akkord!I30+Azerkorpu!I30+'Summury Todini'!I30</f>
        <v>0</v>
      </c>
      <c r="J30" s="678">
        <f>Salini!J30+Impresa!J30+Akkord!J30+Azerkorpu!J30+'Summury Todini'!J30</f>
        <v>0</v>
      </c>
      <c r="K30" s="676">
        <f>Salini!K30+Impresa!K30+Akkord!K30+Azerkorpu!K30+'Summury Todini'!K30</f>
        <v>0</v>
      </c>
      <c r="L30" s="676">
        <f>Salini!L30+Impresa!L30+Akkord!L30+Azerkorpu!L30+'Summury Todini'!L30</f>
        <v>0</v>
      </c>
      <c r="M30" s="676">
        <f>Salini!M30+Impresa!M30+Akkord!M30+Azerkorpu!M30+'Summury Todini'!M30</f>
        <v>0</v>
      </c>
      <c r="N30" s="676">
        <f>Salini!N30+Impresa!N30+Akkord!N30+Azerkorpu!N30+'Summury Todini'!N30</f>
        <v>0</v>
      </c>
      <c r="O30" s="676">
        <f>Salini!O30+Impresa!O30+Akkord!O30+Azerkorpu!O30+'Summury Todini'!O30</f>
        <v>0</v>
      </c>
      <c r="P30" s="676">
        <f>Salini!P30+Impresa!P30+Akkord!P30+Azerkorpu!P30+'Summury Todini'!P30</f>
        <v>0</v>
      </c>
      <c r="Q30" s="676">
        <f>Salini!Q30+Impresa!Q30+Akkord!Q30+Azerkorpu!Q30+'Summury Todini'!Q30</f>
        <v>0</v>
      </c>
      <c r="R30" s="676">
        <f>Salini!R30+Impresa!R30+Akkord!R30+Azerkorpu!R30+'Summury Todini'!R30</f>
        <v>0</v>
      </c>
      <c r="S30" s="676">
        <f>Salini!S30+Impresa!S30+Akkord!S30+Azerkorpu!S30+'Summury Todini'!S30</f>
        <v>0</v>
      </c>
      <c r="T30" s="676">
        <f>Salini!T30+Impresa!T30+Akkord!T30+Azerkorpu!T30+'Summury Todini'!T30</f>
        <v>0</v>
      </c>
      <c r="U30" s="676">
        <f>Salini!U30+Impresa!U30+Akkord!U30+Azerkorpu!U30+'Summury Todini'!U30</f>
        <v>0</v>
      </c>
      <c r="V30" s="4"/>
      <c r="W30" s="4"/>
      <c r="X30" s="4"/>
      <c r="Y30" s="3"/>
    </row>
    <row r="31" spans="1:25" ht="20.25" customHeight="1" thickBot="1">
      <c r="A31" s="459">
        <v>23</v>
      </c>
      <c r="B31" s="603" t="s">
        <v>47</v>
      </c>
      <c r="C31" s="604" t="s">
        <v>19</v>
      </c>
      <c r="D31" s="677">
        <f>Salini!D31+Impresa!D31+Akkord!D31+Azerkorpu!D31+'Summury Todini'!D31</f>
        <v>3732</v>
      </c>
      <c r="E31" s="677">
        <f>Salini!E31+Impresa!E31+Akkord!E31+Azerkorpu!E31+'Summury Todini'!E31</f>
        <v>130</v>
      </c>
      <c r="F31" s="677" t="e">
        <f>Salini!F31+Impresa!F31+Akkord!F31+Azerkorpu!F31+'Summury Todini'!F31</f>
        <v>#VALUE!</v>
      </c>
      <c r="G31" s="677" t="e">
        <f>Salini!G31+Impresa!G31+Akkord!G31+Azerkorpu!G31+'Summury Todini'!G31</f>
        <v>#VALUE!</v>
      </c>
      <c r="H31" s="677">
        <f>Salini!H31+Impresa!H31+Akkord!H31+Azerkorpu!H31+'Summury Todini'!H31</f>
        <v>1300</v>
      </c>
      <c r="I31" s="677">
        <f>Salini!I31+Impresa!I31+Akkord!I31+Azerkorpu!I31+'Summury Todini'!I31</f>
        <v>380</v>
      </c>
      <c r="J31" s="678">
        <f>Salini!J31+Impresa!J31+Akkord!J31+Azerkorpu!J31+'Summury Todini'!J31</f>
        <v>911</v>
      </c>
      <c r="K31" s="677">
        <f>Salini!K31+Impresa!K31+Akkord!K31+Azerkorpu!K31+'Summury Todini'!K31</f>
        <v>80</v>
      </c>
      <c r="L31" s="677">
        <f>Salini!L31+Impresa!L31+Akkord!L31+Azerkorpu!L31+'Summury Todini'!L31</f>
        <v>80</v>
      </c>
      <c r="M31" s="677">
        <f>Salini!M31+Impresa!M31+Akkord!M31+Azerkorpu!M31+'Summury Todini'!M31</f>
        <v>80</v>
      </c>
      <c r="N31" s="677">
        <f>Salini!N31+Impresa!N31+Akkord!N31+Azerkorpu!N31+'Summury Todini'!N31</f>
        <v>90</v>
      </c>
      <c r="O31" s="677">
        <f>Salini!O31+Impresa!O31+Akkord!O31+Azerkorpu!O31+'Summury Todini'!O31</f>
        <v>90</v>
      </c>
      <c r="P31" s="677">
        <f>Salini!P31+Impresa!P31+Akkord!P31+Azerkorpu!P31+'Summury Todini'!P31</f>
        <v>90</v>
      </c>
      <c r="Q31" s="677">
        <f>Salini!Q31+Impresa!Q31+Akkord!Q31+Azerkorpu!Q31+'Summury Todini'!Q31</f>
        <v>90</v>
      </c>
      <c r="R31" s="677">
        <f>Salini!R31+Impresa!R31+Akkord!R31+Azerkorpu!R31+'Summury Todini'!R31</f>
        <v>90</v>
      </c>
      <c r="S31" s="677">
        <f>Salini!S31+Impresa!S31+Akkord!S31+Azerkorpu!S31+'Summury Todini'!S31</f>
        <v>90</v>
      </c>
      <c r="T31" s="677">
        <f>Salini!T31+Impresa!T31+Akkord!T31+Azerkorpu!T31+'Summury Todini'!T31</f>
        <v>80</v>
      </c>
      <c r="U31" s="677">
        <f>Salini!U31+Impresa!U31+Akkord!U31+Azerkorpu!U31+'Summury Todini'!U31</f>
        <v>60</v>
      </c>
      <c r="V31" s="4"/>
      <c r="W31" s="4"/>
      <c r="X31" s="4"/>
      <c r="Y31" s="3"/>
    </row>
    <row r="32" spans="1:24" ht="27" customHeight="1" thickBot="1">
      <c r="A32" s="461">
        <v>24</v>
      </c>
      <c r="B32" s="33" t="s">
        <v>48</v>
      </c>
      <c r="C32" s="22" t="s">
        <v>41</v>
      </c>
      <c r="D32" s="676">
        <f>Salini!D32+Impresa!D32+Akkord!D32+Azerkorpu!D32+'Summury Todini'!D32</f>
        <v>1331.15</v>
      </c>
      <c r="E32" s="676">
        <f>Salini!E32+Impresa!E32+Akkord!E32+Azerkorpu!E32+'Summury Todini'!E32</f>
        <v>135.28</v>
      </c>
      <c r="F32" s="676">
        <f>Salini!F32+Impresa!F32+Akkord!F32+Azerkorpu!F32+'Summury Todini'!F32</f>
        <v>1174.52</v>
      </c>
      <c r="G32" s="676">
        <f>Salini!G32+Impresa!G32+Akkord!G32+Azerkorpu!G32+'Summury Todini'!G32</f>
        <v>0</v>
      </c>
      <c r="H32" s="676">
        <f>Salini!H32+Impresa!H32+Akkord!H32+Azerkorpu!H32+'Summury Todini'!H32</f>
        <v>1238.22</v>
      </c>
      <c r="I32" s="676">
        <f>Salini!I32+Impresa!I32+Akkord!I32+Azerkorpu!I32+'Summury Todini'!I32</f>
        <v>130</v>
      </c>
      <c r="J32" s="678">
        <f>Salini!J32+Impresa!J32+Akkord!J32+Azerkorpu!J32+'Summury Todini'!J32</f>
        <v>3</v>
      </c>
      <c r="K32" s="676">
        <f>Salini!K32+Impresa!K32+Akkord!K32+Azerkorpu!K32+'Summury Todini'!K32</f>
        <v>140</v>
      </c>
      <c r="L32" s="676">
        <f>Salini!L32+Impresa!L32+Akkord!L32+Azerkorpu!L32+'Summury Todini'!L32</f>
        <v>231.4</v>
      </c>
      <c r="M32" s="676">
        <f>Salini!M32+Impresa!M32+Akkord!M32+Azerkorpu!M32+'Summury Todini'!M32</f>
        <v>185</v>
      </c>
      <c r="N32" s="676">
        <f>Salini!N32+Impresa!N32+Akkord!N32+Azerkorpu!N32+'Summury Todini'!N32</f>
        <v>178.39999999999998</v>
      </c>
      <c r="O32" s="676">
        <f>Salini!O32+Impresa!O32+Akkord!O32+Azerkorpu!O32+'Summury Todini'!O32</f>
        <v>90</v>
      </c>
      <c r="P32" s="676">
        <f>Salini!P32+Impresa!P32+Akkord!P32+Azerkorpu!P32+'Summury Todini'!P32</f>
        <v>80</v>
      </c>
      <c r="Q32" s="676">
        <f>Salini!Q32+Impresa!Q32+Akkord!Q32+Azerkorpu!Q32+'Summury Todini'!Q32</f>
        <v>59</v>
      </c>
      <c r="R32" s="676">
        <f>Salini!R32+Impresa!R32+Akkord!R32+Azerkorpu!R32+'Summury Todini'!R32</f>
        <v>40.36</v>
      </c>
      <c r="S32" s="676">
        <f>Salini!S32+Impresa!S32+Akkord!S32+Azerkorpu!S32+'Summury Todini'!S32</f>
        <v>40.36</v>
      </c>
      <c r="T32" s="676">
        <f>Salini!T32+Impresa!T32+Akkord!T32+Azerkorpu!T32+'Summury Todini'!T32</f>
        <v>0</v>
      </c>
      <c r="U32" s="676">
        <f>Salini!U32+Impresa!U32+Akkord!U32+Azerkorpu!U32+'Summury Todini'!U32</f>
        <v>0</v>
      </c>
      <c r="V32" s="4"/>
      <c r="W32" s="4"/>
      <c r="X32" s="4"/>
    </row>
    <row r="33" spans="1:24" ht="15">
      <c r="A33" s="6"/>
      <c r="B33" s="7"/>
      <c r="C33" s="8"/>
      <c r="D33" s="8"/>
      <c r="E33" s="8"/>
      <c r="F33" s="9"/>
      <c r="G33" s="10"/>
      <c r="H33" s="10"/>
      <c r="I33" s="9"/>
      <c r="J33" s="11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15">
      <c r="A34" s="6"/>
      <c r="B34" s="7"/>
      <c r="C34" s="8"/>
      <c r="D34" s="8"/>
      <c r="E34" s="8"/>
      <c r="F34" s="9"/>
      <c r="G34" s="10"/>
      <c r="H34" s="10"/>
      <c r="I34" s="9"/>
      <c r="J34" s="11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5">
      <c r="A35" s="6"/>
      <c r="B35" s="732"/>
      <c r="C35" s="732"/>
      <c r="D35" s="732"/>
      <c r="E35" s="732"/>
      <c r="F35" s="732"/>
      <c r="G35" s="732"/>
      <c r="H35" s="732"/>
      <c r="I35" s="9"/>
      <c r="J35" s="11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ht="15">
      <c r="A36" s="6"/>
      <c r="B36" s="7"/>
      <c r="C36" s="8"/>
      <c r="D36" s="8"/>
      <c r="E36" s="8"/>
      <c r="F36" s="9"/>
      <c r="G36" s="10"/>
      <c r="H36" s="10"/>
      <c r="I36" s="9"/>
      <c r="J36" s="11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</sheetData>
  <sheetProtection/>
  <mergeCells count="11">
    <mergeCell ref="I5:J5"/>
    <mergeCell ref="D4:D5"/>
    <mergeCell ref="E4:E5"/>
    <mergeCell ref="B35:H35"/>
    <mergeCell ref="H4:H5"/>
    <mergeCell ref="I4:U4"/>
    <mergeCell ref="A1:U2"/>
    <mergeCell ref="A4:A5"/>
    <mergeCell ref="B4:B5"/>
    <mergeCell ref="C4:C5"/>
    <mergeCell ref="F4:G4"/>
  </mergeCells>
  <printOptions/>
  <pageMargins left="0.5" right="0.31" top="0.57" bottom="0.55" header="0.5" footer="0.5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6"/>
  <sheetViews>
    <sheetView zoomScalePageLayoutView="0" workbookViewId="0" topLeftCell="A1">
      <selection activeCell="I19" sqref="I19"/>
    </sheetView>
  </sheetViews>
  <sheetFormatPr defaultColWidth="9.00390625" defaultRowHeight="12.75"/>
  <cols>
    <col min="1" max="1" width="5.125" style="0" customWidth="1"/>
    <col min="2" max="2" width="36.125" style="0" customWidth="1"/>
    <col min="4" max="4" width="19.75390625" style="0" customWidth="1"/>
    <col min="5" max="5" width="17.375" style="0" customWidth="1"/>
    <col min="6" max="6" width="9.25390625" style="0" hidden="1" customWidth="1"/>
    <col min="7" max="7" width="10.25390625" style="0" hidden="1" customWidth="1"/>
    <col min="8" max="8" width="11.25390625" style="0" customWidth="1"/>
    <col min="16" max="16" width="6.75390625" style="0" customWidth="1"/>
    <col min="17" max="17" width="7.75390625" style="0" customWidth="1"/>
    <col min="20" max="20" width="8.125" style="0" customWidth="1"/>
    <col min="21" max="21" width="7.25390625" style="0" customWidth="1"/>
  </cols>
  <sheetData>
    <row r="1" spans="1:27" ht="13.5" customHeight="1">
      <c r="A1" s="739" t="s">
        <v>69</v>
      </c>
      <c r="B1" s="739"/>
      <c r="C1" s="739"/>
      <c r="D1" s="739"/>
      <c r="E1" s="739"/>
      <c r="F1" s="739"/>
      <c r="G1" s="739"/>
      <c r="H1" s="739"/>
      <c r="I1" s="739"/>
      <c r="J1" s="739"/>
      <c r="K1" s="739"/>
      <c r="L1" s="739"/>
      <c r="M1" s="739"/>
      <c r="N1" s="739"/>
      <c r="O1" s="739"/>
      <c r="P1" s="739"/>
      <c r="Q1" s="739"/>
      <c r="R1" s="739"/>
      <c r="S1" s="739"/>
      <c r="T1" s="739"/>
      <c r="U1" s="739"/>
      <c r="V1" s="739"/>
      <c r="W1" s="739"/>
      <c r="X1" s="739"/>
      <c r="Y1" s="739"/>
      <c r="Z1" s="739"/>
      <c r="AA1" s="739"/>
    </row>
    <row r="2" spans="1:27" ht="33" customHeight="1">
      <c r="A2" s="739"/>
      <c r="B2" s="739"/>
      <c r="C2" s="739"/>
      <c r="D2" s="739"/>
      <c r="E2" s="739"/>
      <c r="F2" s="739"/>
      <c r="G2" s="739"/>
      <c r="H2" s="739"/>
      <c r="I2" s="739"/>
      <c r="J2" s="739"/>
      <c r="K2" s="739"/>
      <c r="L2" s="739"/>
      <c r="M2" s="739"/>
      <c r="N2" s="739"/>
      <c r="O2" s="739"/>
      <c r="P2" s="739"/>
      <c r="Q2" s="739"/>
      <c r="R2" s="739"/>
      <c r="S2" s="739"/>
      <c r="T2" s="739"/>
      <c r="U2" s="739"/>
      <c r="V2" s="739"/>
      <c r="W2" s="739"/>
      <c r="X2" s="739"/>
      <c r="Y2" s="739"/>
      <c r="Z2" s="739"/>
      <c r="AA2" s="739"/>
    </row>
    <row r="3" spans="1:27" ht="14.25" customHeight="1" thickBot="1">
      <c r="A3" s="171"/>
      <c r="B3" s="171"/>
      <c r="C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519" t="s">
        <v>81</v>
      </c>
      <c r="S3" s="171"/>
      <c r="T3" s="520" t="s">
        <v>85</v>
      </c>
      <c r="U3" s="171"/>
      <c r="V3" s="171"/>
      <c r="W3" s="171"/>
      <c r="X3" s="171"/>
      <c r="Y3" s="171"/>
      <c r="Z3" s="171"/>
      <c r="AA3" s="171"/>
    </row>
    <row r="4" spans="1:27" ht="29.25" customHeight="1" thickBot="1">
      <c r="A4" s="740" t="s">
        <v>6</v>
      </c>
      <c r="B4" s="740" t="s">
        <v>7</v>
      </c>
      <c r="C4" s="740" t="s">
        <v>8</v>
      </c>
      <c r="D4" s="730" t="s">
        <v>83</v>
      </c>
      <c r="E4" s="730" t="s">
        <v>84</v>
      </c>
      <c r="F4" s="740" t="s">
        <v>50</v>
      </c>
      <c r="G4" s="740"/>
      <c r="H4" s="730" t="s">
        <v>82</v>
      </c>
      <c r="I4" s="741" t="s">
        <v>9</v>
      </c>
      <c r="J4" s="741"/>
      <c r="K4" s="741"/>
      <c r="L4" s="741"/>
      <c r="M4" s="741"/>
      <c r="N4" s="741"/>
      <c r="O4" s="741"/>
      <c r="P4" s="741"/>
      <c r="Q4" s="741"/>
      <c r="R4" s="741"/>
      <c r="S4" s="741"/>
      <c r="T4" s="741"/>
      <c r="U4" s="741"/>
      <c r="V4" s="214"/>
      <c r="W4" s="214"/>
      <c r="X4" s="214"/>
      <c r="Y4" s="171"/>
      <c r="Z4" s="171"/>
      <c r="AA4" s="171"/>
    </row>
    <row r="5" spans="1:27" ht="23.25" customHeight="1" thickBot="1">
      <c r="A5" s="740"/>
      <c r="B5" s="740"/>
      <c r="C5" s="740"/>
      <c r="D5" s="731"/>
      <c r="E5" s="731"/>
      <c r="F5" s="220" t="s">
        <v>49</v>
      </c>
      <c r="G5" s="374" t="s">
        <v>10</v>
      </c>
      <c r="H5" s="731"/>
      <c r="I5" s="742" t="s">
        <v>4</v>
      </c>
      <c r="J5" s="743"/>
      <c r="K5" s="176" t="s">
        <v>3</v>
      </c>
      <c r="L5" s="374" t="s">
        <v>0</v>
      </c>
      <c r="M5" s="220" t="s">
        <v>1</v>
      </c>
      <c r="N5" s="374" t="s">
        <v>5</v>
      </c>
      <c r="O5" s="220" t="s">
        <v>11</v>
      </c>
      <c r="P5" s="374" t="s">
        <v>12</v>
      </c>
      <c r="Q5" s="220" t="s">
        <v>13</v>
      </c>
      <c r="R5" s="374" t="s">
        <v>14</v>
      </c>
      <c r="S5" s="220" t="s">
        <v>15</v>
      </c>
      <c r="T5" s="374" t="s">
        <v>16</v>
      </c>
      <c r="U5" s="392" t="s">
        <v>17</v>
      </c>
      <c r="V5" s="218"/>
      <c r="W5" s="218"/>
      <c r="X5" s="218"/>
      <c r="Y5" s="175"/>
      <c r="Z5" s="171"/>
      <c r="AA5" s="171"/>
    </row>
    <row r="6" spans="1:27" ht="15" thickBot="1">
      <c r="A6" s="220"/>
      <c r="B6" s="220"/>
      <c r="C6" s="220"/>
      <c r="D6" s="524"/>
      <c r="E6" s="19"/>
      <c r="F6" s="375"/>
      <c r="G6" s="220"/>
      <c r="H6" s="220"/>
      <c r="I6" s="415" t="s">
        <v>49</v>
      </c>
      <c r="J6" s="474" t="s">
        <v>10</v>
      </c>
      <c r="K6" s="376"/>
      <c r="L6" s="377"/>
      <c r="M6" s="376"/>
      <c r="N6" s="377"/>
      <c r="O6" s="376"/>
      <c r="P6" s="377"/>
      <c r="Q6" s="376"/>
      <c r="R6" s="377"/>
      <c r="S6" s="376"/>
      <c r="T6" s="376"/>
      <c r="U6" s="377"/>
      <c r="V6" s="218"/>
      <c r="W6" s="218"/>
      <c r="X6" s="218"/>
      <c r="Y6" s="175"/>
      <c r="Z6" s="171"/>
      <c r="AA6" s="171"/>
    </row>
    <row r="7" spans="1:27" ht="21.75" customHeight="1" thickBot="1">
      <c r="A7" s="233">
        <v>1</v>
      </c>
      <c r="B7" s="178" t="s">
        <v>62</v>
      </c>
      <c r="C7" s="233" t="s">
        <v>19</v>
      </c>
      <c r="D7" s="640">
        <v>1046.23</v>
      </c>
      <c r="E7" s="528">
        <v>596.7</v>
      </c>
      <c r="F7" s="641">
        <f>F8+F9+F10</f>
        <v>440.21000000000004</v>
      </c>
      <c r="G7" s="412">
        <f>G8+G9</f>
        <v>9.4</v>
      </c>
      <c r="H7" s="384">
        <f aca="true" t="shared" si="0" ref="H7:H13">F7-G7</f>
        <v>430.81000000000006</v>
      </c>
      <c r="I7" s="386">
        <f>I8+I9+I10</f>
        <v>0</v>
      </c>
      <c r="J7" s="642">
        <v>58.8</v>
      </c>
      <c r="K7" s="409">
        <f aca="true" t="shared" si="1" ref="K7:U7">K8+K9+K10</f>
        <v>0</v>
      </c>
      <c r="L7" s="409">
        <f t="shared" si="1"/>
        <v>8.32</v>
      </c>
      <c r="M7" s="409">
        <f t="shared" si="1"/>
        <v>31.250000000000004</v>
      </c>
      <c r="N7" s="409">
        <f t="shared" si="1"/>
        <v>36.33</v>
      </c>
      <c r="O7" s="408">
        <f t="shared" si="1"/>
        <v>76.46000000000001</v>
      </c>
      <c r="P7" s="409">
        <f t="shared" si="1"/>
        <v>101.07000000000001</v>
      </c>
      <c r="Q7" s="409">
        <f t="shared" si="1"/>
        <v>113.19999999999999</v>
      </c>
      <c r="R7" s="409">
        <f t="shared" si="1"/>
        <v>73.58</v>
      </c>
      <c r="S7" s="409">
        <f t="shared" si="1"/>
        <v>0</v>
      </c>
      <c r="T7" s="409">
        <f t="shared" si="1"/>
        <v>0</v>
      </c>
      <c r="U7" s="409">
        <f t="shared" si="1"/>
        <v>0</v>
      </c>
      <c r="V7" s="227">
        <f>SUM(I7:U7)</f>
        <v>499.01</v>
      </c>
      <c r="W7" s="228">
        <f>F7-V7</f>
        <v>-58.799999999999955</v>
      </c>
      <c r="X7" s="227"/>
      <c r="Y7" s="175"/>
      <c r="Z7" s="171"/>
      <c r="AA7" s="171"/>
    </row>
    <row r="8" spans="1:27" ht="21" customHeight="1" thickBot="1">
      <c r="A8" s="376"/>
      <c r="B8" s="247" t="s">
        <v>63</v>
      </c>
      <c r="C8" s="376" t="s">
        <v>19</v>
      </c>
      <c r="D8" s="527">
        <v>321.4</v>
      </c>
      <c r="E8" s="528">
        <v>232.87</v>
      </c>
      <c r="F8" s="410">
        <f>202.45-60.72</f>
        <v>141.73</v>
      </c>
      <c r="G8" s="411">
        <v>9.4</v>
      </c>
      <c r="H8" s="412">
        <f t="shared" si="0"/>
        <v>132.32999999999998</v>
      </c>
      <c r="I8" s="411">
        <v>0</v>
      </c>
      <c r="J8" s="643">
        <v>22.678</v>
      </c>
      <c r="K8" s="411">
        <v>0</v>
      </c>
      <c r="L8" s="411">
        <v>0</v>
      </c>
      <c r="M8" s="411">
        <v>9.47</v>
      </c>
      <c r="N8" s="411">
        <v>12</v>
      </c>
      <c r="O8" s="411">
        <f>35.87-O10</f>
        <v>24.559999999999995</v>
      </c>
      <c r="P8" s="411">
        <f>46.42-P10</f>
        <v>32.34</v>
      </c>
      <c r="Q8" s="411">
        <f>56.97-Q10</f>
        <v>40.129999999999995</v>
      </c>
      <c r="R8" s="411">
        <f>28.04-R10</f>
        <v>23.23</v>
      </c>
      <c r="S8" s="411"/>
      <c r="T8" s="411"/>
      <c r="U8" s="411"/>
      <c r="V8" s="229">
        <f aca="true" t="shared" si="2" ref="V8:V32">SUM(I8:U8)</f>
        <v>164.408</v>
      </c>
      <c r="W8" s="227">
        <f aca="true" t="shared" si="3" ref="W8:W32">V8-H8</f>
        <v>32.078</v>
      </c>
      <c r="X8" s="229">
        <f>176-V8</f>
        <v>11.592000000000013</v>
      </c>
      <c r="Y8" s="175"/>
      <c r="Z8" s="171"/>
      <c r="AA8" s="171"/>
    </row>
    <row r="9" spans="1:27" ht="24" customHeight="1" thickBot="1">
      <c r="A9" s="376"/>
      <c r="B9" s="247" t="s">
        <v>64</v>
      </c>
      <c r="C9" s="376" t="s">
        <v>19</v>
      </c>
      <c r="D9" s="529">
        <v>577.42</v>
      </c>
      <c r="E9" s="530">
        <v>267.43</v>
      </c>
      <c r="F9" s="411">
        <v>237.76</v>
      </c>
      <c r="G9" s="411"/>
      <c r="H9" s="412">
        <f t="shared" si="0"/>
        <v>237.76</v>
      </c>
      <c r="I9" s="411">
        <v>0</v>
      </c>
      <c r="J9" s="643">
        <v>36.122</v>
      </c>
      <c r="K9" s="411">
        <v>0</v>
      </c>
      <c r="L9" s="411">
        <v>8.32</v>
      </c>
      <c r="M9" s="411">
        <v>15.8</v>
      </c>
      <c r="N9" s="411">
        <v>16.63</v>
      </c>
      <c r="O9" s="411">
        <v>40.59</v>
      </c>
      <c r="P9" s="411">
        <v>54.65</v>
      </c>
      <c r="Q9" s="411">
        <v>56.23</v>
      </c>
      <c r="R9" s="411">
        <v>45.54</v>
      </c>
      <c r="S9" s="411"/>
      <c r="T9" s="411"/>
      <c r="U9" s="411"/>
      <c r="V9" s="229">
        <f t="shared" si="2"/>
        <v>273.882</v>
      </c>
      <c r="W9" s="227">
        <f t="shared" si="3"/>
        <v>36.122000000000014</v>
      </c>
      <c r="X9" s="227"/>
      <c r="Y9" s="175"/>
      <c r="Z9" s="171"/>
      <c r="AA9" s="171"/>
    </row>
    <row r="10" spans="1:27" ht="24" customHeight="1" thickBot="1">
      <c r="A10" s="376"/>
      <c r="B10" s="247" t="s">
        <v>65</v>
      </c>
      <c r="C10" s="376" t="s">
        <v>19</v>
      </c>
      <c r="D10" s="536">
        <v>193.7</v>
      </c>
      <c r="E10" s="523">
        <v>96.4</v>
      </c>
      <c r="F10" s="411">
        <v>60.72</v>
      </c>
      <c r="G10" s="411">
        <v>0.9</v>
      </c>
      <c r="H10" s="412">
        <f t="shared" si="0"/>
        <v>59.82</v>
      </c>
      <c r="I10" s="411"/>
      <c r="J10" s="643">
        <v>0</v>
      </c>
      <c r="K10" s="411"/>
      <c r="L10" s="411"/>
      <c r="M10" s="411">
        <v>5.98</v>
      </c>
      <c r="N10" s="411">
        <v>7.7</v>
      </c>
      <c r="O10" s="411">
        <v>11.31</v>
      </c>
      <c r="P10" s="411">
        <v>14.08</v>
      </c>
      <c r="Q10" s="411">
        <v>16.84</v>
      </c>
      <c r="R10" s="411">
        <v>4.81</v>
      </c>
      <c r="S10" s="411"/>
      <c r="T10" s="411"/>
      <c r="U10" s="411"/>
      <c r="V10" s="229">
        <f t="shared" si="2"/>
        <v>60.72</v>
      </c>
      <c r="W10" s="228">
        <f t="shared" si="3"/>
        <v>0.8999999999999986</v>
      </c>
      <c r="X10" s="227"/>
      <c r="Y10" s="175"/>
      <c r="Z10" s="171"/>
      <c r="AA10" s="171"/>
    </row>
    <row r="11" spans="1:27" ht="22.5" customHeight="1" thickBot="1">
      <c r="A11" s="220">
        <v>2</v>
      </c>
      <c r="B11" s="413" t="s">
        <v>23</v>
      </c>
      <c r="C11" s="220" t="s">
        <v>19</v>
      </c>
      <c r="D11" s="529">
        <v>162.05</v>
      </c>
      <c r="E11" s="530"/>
      <c r="F11" s="406"/>
      <c r="G11" s="406"/>
      <c r="H11" s="412">
        <f t="shared" si="0"/>
        <v>0</v>
      </c>
      <c r="I11" s="381"/>
      <c r="J11" s="474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3"/>
      <c r="V11" s="227">
        <f t="shared" si="2"/>
        <v>0</v>
      </c>
      <c r="W11" s="227">
        <f t="shared" si="3"/>
        <v>0</v>
      </c>
      <c r="X11" s="227"/>
      <c r="Y11" s="175"/>
      <c r="Z11" s="171"/>
      <c r="AA11" s="171"/>
    </row>
    <row r="12" spans="1:27" ht="22.5" customHeight="1" thickBot="1">
      <c r="A12" s="233">
        <v>3</v>
      </c>
      <c r="B12" s="178" t="s">
        <v>66</v>
      </c>
      <c r="C12" s="233" t="s">
        <v>19</v>
      </c>
      <c r="D12" s="536">
        <v>435.33</v>
      </c>
      <c r="E12" s="523">
        <v>122.12</v>
      </c>
      <c r="F12" s="406">
        <f>600-115.24-166.45</f>
        <v>318.31</v>
      </c>
      <c r="G12" s="406">
        <v>5.1</v>
      </c>
      <c r="H12" s="384">
        <f t="shared" si="0"/>
        <v>313.21</v>
      </c>
      <c r="I12" s="386"/>
      <c r="J12" s="644">
        <v>5.4</v>
      </c>
      <c r="K12" s="384"/>
      <c r="L12" s="384">
        <v>14</v>
      </c>
      <c r="M12" s="384">
        <v>14</v>
      </c>
      <c r="N12" s="384">
        <v>4</v>
      </c>
      <c r="O12" s="384">
        <v>6</v>
      </c>
      <c r="P12" s="384">
        <v>5.4</v>
      </c>
      <c r="Q12" s="384">
        <v>44.81</v>
      </c>
      <c r="R12" s="384"/>
      <c r="S12" s="384"/>
      <c r="T12" s="384"/>
      <c r="U12" s="384"/>
      <c r="V12" s="227">
        <f t="shared" si="2"/>
        <v>93.61</v>
      </c>
      <c r="W12" s="228">
        <f>153.65-V12</f>
        <v>60.040000000000006</v>
      </c>
      <c r="X12" s="227"/>
      <c r="Y12" s="175"/>
      <c r="Z12" s="171"/>
      <c r="AA12" s="171"/>
    </row>
    <row r="13" spans="1:27" ht="23.25" customHeight="1" thickBot="1">
      <c r="A13" s="241">
        <f>1+A12</f>
        <v>4</v>
      </c>
      <c r="B13" s="188" t="s">
        <v>25</v>
      </c>
      <c r="C13" s="241" t="s">
        <v>19</v>
      </c>
      <c r="D13" s="529">
        <v>7.57</v>
      </c>
      <c r="E13" s="530">
        <v>0</v>
      </c>
      <c r="F13" s="406">
        <v>7.574</v>
      </c>
      <c r="G13" s="406"/>
      <c r="H13" s="412">
        <f t="shared" si="0"/>
        <v>7.574</v>
      </c>
      <c r="I13" s="381"/>
      <c r="J13" s="474"/>
      <c r="K13" s="383"/>
      <c r="L13" s="383"/>
      <c r="M13" s="383"/>
      <c r="N13" s="388">
        <v>3</v>
      </c>
      <c r="O13" s="383">
        <v>4.574</v>
      </c>
      <c r="P13" s="383"/>
      <c r="Q13" s="383"/>
      <c r="R13" s="383"/>
      <c r="S13" s="383"/>
      <c r="T13" s="383"/>
      <c r="U13" s="383"/>
      <c r="V13" s="227">
        <f t="shared" si="2"/>
        <v>7.574</v>
      </c>
      <c r="W13" s="227">
        <f t="shared" si="3"/>
        <v>0</v>
      </c>
      <c r="X13" s="227"/>
      <c r="Y13" s="175"/>
      <c r="Z13" s="171"/>
      <c r="AA13" s="171"/>
    </row>
    <row r="14" spans="1:27" ht="22.5" customHeight="1" thickBot="1">
      <c r="A14" s="241">
        <f aca="true" t="shared" si="4" ref="A14:A32">1+A13</f>
        <v>5</v>
      </c>
      <c r="B14" s="178" t="s">
        <v>67</v>
      </c>
      <c r="C14" s="233" t="s">
        <v>19</v>
      </c>
      <c r="D14" s="536">
        <v>15.76</v>
      </c>
      <c r="E14" s="523">
        <v>10.05</v>
      </c>
      <c r="F14" s="441">
        <f>18.17-3.41-5.25</f>
        <v>9.510000000000002</v>
      </c>
      <c r="G14" s="406"/>
      <c r="H14" s="384">
        <v>9.5</v>
      </c>
      <c r="I14" s="386"/>
      <c r="J14" s="645">
        <v>0.9</v>
      </c>
      <c r="K14" s="386"/>
      <c r="L14" s="386"/>
      <c r="M14" s="386"/>
      <c r="N14" s="384">
        <v>0.64</v>
      </c>
      <c r="O14" s="384">
        <v>0.81</v>
      </c>
      <c r="P14" s="384">
        <v>1.65</v>
      </c>
      <c r="Q14" s="384">
        <v>2.18</v>
      </c>
      <c r="R14" s="384">
        <v>2.7</v>
      </c>
      <c r="S14" s="384">
        <v>1.55</v>
      </c>
      <c r="T14" s="384"/>
      <c r="U14" s="384"/>
      <c r="V14" s="227">
        <f t="shared" si="2"/>
        <v>10.43</v>
      </c>
      <c r="W14" s="227">
        <f>V14-H14</f>
        <v>0.9299999999999997</v>
      </c>
      <c r="X14" s="227"/>
      <c r="Y14" s="175"/>
      <c r="Z14" s="171"/>
      <c r="AA14" s="171"/>
    </row>
    <row r="15" spans="1:27" ht="22.5" customHeight="1" thickBot="1">
      <c r="A15" s="241">
        <f t="shared" si="4"/>
        <v>6</v>
      </c>
      <c r="B15" s="188" t="s">
        <v>27</v>
      </c>
      <c r="C15" s="233" t="s">
        <v>19</v>
      </c>
      <c r="D15" s="529">
        <v>0.6</v>
      </c>
      <c r="E15" s="530">
        <v>0.4</v>
      </c>
      <c r="F15" s="406">
        <v>0.15</v>
      </c>
      <c r="G15" s="406"/>
      <c r="H15" s="412">
        <v>0.2</v>
      </c>
      <c r="I15" s="406">
        <v>0.02</v>
      </c>
      <c r="J15" s="474">
        <v>0.035</v>
      </c>
      <c r="K15" s="383">
        <f>20/1000</f>
        <v>0.02</v>
      </c>
      <c r="L15" s="383">
        <f>20/1000</f>
        <v>0.02</v>
      </c>
      <c r="M15" s="383">
        <f>30/1000</f>
        <v>0.03</v>
      </c>
      <c r="N15" s="383">
        <f>30/1000</f>
        <v>0.03</v>
      </c>
      <c r="O15" s="383">
        <v>0.03</v>
      </c>
      <c r="P15" s="383"/>
      <c r="Q15" s="383"/>
      <c r="R15" s="383"/>
      <c r="S15" s="383"/>
      <c r="T15" s="383"/>
      <c r="U15" s="383"/>
      <c r="V15" s="227">
        <f t="shared" si="2"/>
        <v>0.185</v>
      </c>
      <c r="W15" s="227">
        <f t="shared" si="3"/>
        <v>-0.015000000000000013</v>
      </c>
      <c r="X15" s="227"/>
      <c r="Y15" s="175"/>
      <c r="Z15" s="171"/>
      <c r="AA15" s="171"/>
    </row>
    <row r="16" spans="1:27" ht="20.25" customHeight="1" thickBot="1">
      <c r="A16" s="241">
        <f t="shared" si="4"/>
        <v>7</v>
      </c>
      <c r="B16" s="178" t="s">
        <v>28</v>
      </c>
      <c r="C16" s="233" t="s">
        <v>29</v>
      </c>
      <c r="D16" s="536">
        <v>1.446</v>
      </c>
      <c r="E16" s="523">
        <v>0.996</v>
      </c>
      <c r="F16" s="441">
        <v>1</v>
      </c>
      <c r="G16" s="406"/>
      <c r="H16" s="384">
        <v>0.45</v>
      </c>
      <c r="I16" s="386">
        <v>0.3</v>
      </c>
      <c r="J16" s="474"/>
      <c r="K16" s="646">
        <v>0.3</v>
      </c>
      <c r="L16" s="384">
        <v>0.3</v>
      </c>
      <c r="M16" s="384">
        <v>0.1</v>
      </c>
      <c r="N16" s="384"/>
      <c r="O16" s="384"/>
      <c r="P16" s="384"/>
      <c r="Q16" s="384"/>
      <c r="R16" s="384"/>
      <c r="S16" s="384"/>
      <c r="T16" s="384"/>
      <c r="U16" s="384"/>
      <c r="V16" s="227">
        <f t="shared" si="2"/>
        <v>0.9999999999999999</v>
      </c>
      <c r="W16" s="227">
        <f t="shared" si="3"/>
        <v>0.5499999999999998</v>
      </c>
      <c r="X16" s="227"/>
      <c r="Y16" s="175"/>
      <c r="Z16" s="171"/>
      <c r="AA16" s="171"/>
    </row>
    <row r="17" spans="1:27" ht="21.75" customHeight="1" thickBot="1">
      <c r="A17" s="241">
        <f t="shared" si="4"/>
        <v>8</v>
      </c>
      <c r="B17" s="188" t="s">
        <v>30</v>
      </c>
      <c r="C17" s="241" t="s">
        <v>31</v>
      </c>
      <c r="D17" s="529">
        <v>794.121</v>
      </c>
      <c r="E17" s="530">
        <v>193.43</v>
      </c>
      <c r="F17" s="406">
        <v>452</v>
      </c>
      <c r="G17" s="406">
        <v>38</v>
      </c>
      <c r="H17" s="412">
        <f>F17-G17</f>
        <v>414</v>
      </c>
      <c r="I17" s="381">
        <v>138</v>
      </c>
      <c r="J17" s="474">
        <v>0.04</v>
      </c>
      <c r="K17" s="383">
        <v>69</v>
      </c>
      <c r="L17" s="383">
        <v>69</v>
      </c>
      <c r="M17" s="383">
        <v>69</v>
      </c>
      <c r="N17" s="383">
        <v>69</v>
      </c>
      <c r="O17" s="383"/>
      <c r="P17" s="383"/>
      <c r="Q17" s="383"/>
      <c r="R17" s="383"/>
      <c r="S17" s="383"/>
      <c r="T17" s="383"/>
      <c r="U17" s="383"/>
      <c r="V17" s="227">
        <f t="shared" si="2"/>
        <v>414.03999999999996</v>
      </c>
      <c r="W17" s="227">
        <f t="shared" si="3"/>
        <v>0.03999999999996362</v>
      </c>
      <c r="X17" s="227"/>
      <c r="Y17" s="175"/>
      <c r="Z17" s="171"/>
      <c r="AA17" s="171"/>
    </row>
    <row r="18" spans="1:27" ht="21.75" customHeight="1" thickBot="1">
      <c r="A18" s="241">
        <f t="shared" si="4"/>
        <v>9</v>
      </c>
      <c r="B18" s="188" t="s">
        <v>75</v>
      </c>
      <c r="C18" s="241" t="s">
        <v>31</v>
      </c>
      <c r="D18" s="536">
        <v>0.65</v>
      </c>
      <c r="E18" s="523"/>
      <c r="F18" s="406"/>
      <c r="G18" s="406"/>
      <c r="H18" s="412"/>
      <c r="I18" s="381"/>
      <c r="J18" s="474"/>
      <c r="K18" s="383"/>
      <c r="L18" s="383"/>
      <c r="M18" s="383"/>
      <c r="N18" s="383"/>
      <c r="O18" s="383"/>
      <c r="P18" s="383"/>
      <c r="Q18" s="383"/>
      <c r="R18" s="383"/>
      <c r="S18" s="383"/>
      <c r="T18" s="383"/>
      <c r="U18" s="383"/>
      <c r="V18" s="227"/>
      <c r="W18" s="227"/>
      <c r="X18" s="227"/>
      <c r="Y18" s="175"/>
      <c r="Z18" s="171"/>
      <c r="AA18" s="171"/>
    </row>
    <row r="19" spans="1:27" ht="21" customHeight="1" thickBot="1">
      <c r="A19" s="241">
        <f t="shared" si="4"/>
        <v>10</v>
      </c>
      <c r="B19" s="178" t="s">
        <v>32</v>
      </c>
      <c r="C19" s="233" t="s">
        <v>2</v>
      </c>
      <c r="D19" s="636">
        <v>2073</v>
      </c>
      <c r="E19" s="636">
        <v>0</v>
      </c>
      <c r="F19" s="406">
        <v>2073</v>
      </c>
      <c r="G19" s="406"/>
      <c r="H19" s="384">
        <f>F19-G19</f>
        <v>2073</v>
      </c>
      <c r="I19" s="386"/>
      <c r="J19" s="474"/>
      <c r="K19" s="384"/>
      <c r="L19" s="384"/>
      <c r="M19" s="384">
        <v>2073</v>
      </c>
      <c r="N19" s="384"/>
      <c r="O19" s="384"/>
      <c r="P19" s="384"/>
      <c r="Q19" s="384"/>
      <c r="R19" s="384"/>
      <c r="S19" s="384"/>
      <c r="T19" s="384"/>
      <c r="U19" s="384"/>
      <c r="V19" s="227">
        <f t="shared" si="2"/>
        <v>2073</v>
      </c>
      <c r="W19" s="227">
        <f t="shared" si="3"/>
        <v>0</v>
      </c>
      <c r="X19" s="227"/>
      <c r="Y19" s="175"/>
      <c r="Z19" s="171"/>
      <c r="AA19" s="171"/>
    </row>
    <row r="20" spans="1:27" ht="19.5" customHeight="1" thickBot="1">
      <c r="A20" s="241">
        <f t="shared" si="4"/>
        <v>11</v>
      </c>
      <c r="B20" s="188" t="s">
        <v>33</v>
      </c>
      <c r="C20" s="241" t="s">
        <v>19</v>
      </c>
      <c r="D20" s="536"/>
      <c r="E20" s="523"/>
      <c r="F20" s="381"/>
      <c r="G20" s="381"/>
      <c r="H20" s="412">
        <f>F20-G20</f>
        <v>0</v>
      </c>
      <c r="I20" s="381"/>
      <c r="J20" s="474"/>
      <c r="K20" s="383"/>
      <c r="L20" s="383"/>
      <c r="M20" s="383"/>
      <c r="N20" s="383"/>
      <c r="O20" s="383"/>
      <c r="P20" s="383"/>
      <c r="Q20" s="383"/>
      <c r="R20" s="383"/>
      <c r="S20" s="383"/>
      <c r="T20" s="383"/>
      <c r="U20" s="383"/>
      <c r="V20" s="227">
        <f t="shared" si="2"/>
        <v>0</v>
      </c>
      <c r="W20" s="227">
        <f t="shared" si="3"/>
        <v>0</v>
      </c>
      <c r="X20" s="227"/>
      <c r="Y20" s="175"/>
      <c r="Z20" s="171"/>
      <c r="AA20" s="171"/>
    </row>
    <row r="21" spans="1:27" ht="20.25" customHeight="1" thickBot="1">
      <c r="A21" s="241">
        <f t="shared" si="4"/>
        <v>12</v>
      </c>
      <c r="B21" s="178" t="s">
        <v>34</v>
      </c>
      <c r="C21" s="233" t="s">
        <v>35</v>
      </c>
      <c r="D21" s="529">
        <v>100</v>
      </c>
      <c r="E21" s="523">
        <v>0</v>
      </c>
      <c r="F21" s="406">
        <v>12618</v>
      </c>
      <c r="G21" s="381"/>
      <c r="H21" s="384">
        <v>100</v>
      </c>
      <c r="I21" s="386"/>
      <c r="J21" s="474"/>
      <c r="K21" s="384"/>
      <c r="L21" s="384"/>
      <c r="M21" s="384"/>
      <c r="N21" s="384">
        <v>100</v>
      </c>
      <c r="O21" s="384"/>
      <c r="P21" s="384"/>
      <c r="Q21" s="384"/>
      <c r="R21" s="384"/>
      <c r="S21" s="384"/>
      <c r="T21" s="384"/>
      <c r="U21" s="384"/>
      <c r="V21" s="227">
        <f t="shared" si="2"/>
        <v>100</v>
      </c>
      <c r="W21" s="227">
        <f t="shared" si="3"/>
        <v>0</v>
      </c>
      <c r="X21" s="227"/>
      <c r="Y21" s="175"/>
      <c r="Z21" s="171"/>
      <c r="AA21" s="171"/>
    </row>
    <row r="22" spans="1:27" ht="24" customHeight="1" thickBot="1">
      <c r="A22" s="241">
        <f t="shared" si="4"/>
        <v>13</v>
      </c>
      <c r="B22" s="247" t="s">
        <v>36</v>
      </c>
      <c r="C22" s="220" t="s">
        <v>2</v>
      </c>
      <c r="D22" s="536">
        <v>572</v>
      </c>
      <c r="E22" s="523">
        <v>572</v>
      </c>
      <c r="F22" s="406">
        <v>572</v>
      </c>
      <c r="G22" s="406"/>
      <c r="H22" s="412">
        <v>0</v>
      </c>
      <c r="I22" s="381"/>
      <c r="J22" s="474"/>
      <c r="K22" s="383"/>
      <c r="L22" s="383"/>
      <c r="M22" s="383"/>
      <c r="N22" s="383"/>
      <c r="O22" s="385"/>
      <c r="P22" s="383"/>
      <c r="Q22" s="383"/>
      <c r="R22" s="383"/>
      <c r="S22" s="383"/>
      <c r="T22" s="383"/>
      <c r="U22" s="383"/>
      <c r="V22" s="227">
        <f t="shared" si="2"/>
        <v>0</v>
      </c>
      <c r="W22" s="227">
        <f t="shared" si="3"/>
        <v>0</v>
      </c>
      <c r="X22" s="227"/>
      <c r="Y22" s="201"/>
      <c r="Z22" s="171"/>
      <c r="AA22" s="171"/>
    </row>
    <row r="23" spans="1:27" ht="20.25" customHeight="1" thickBot="1">
      <c r="A23" s="241">
        <f t="shared" si="4"/>
        <v>14</v>
      </c>
      <c r="B23" s="178" t="s">
        <v>37</v>
      </c>
      <c r="C23" s="233" t="s">
        <v>2</v>
      </c>
      <c r="D23" s="529">
        <v>79</v>
      </c>
      <c r="E23" s="530">
        <v>79</v>
      </c>
      <c r="F23" s="381"/>
      <c r="G23" s="381"/>
      <c r="H23" s="384">
        <f>F23-G23</f>
        <v>0</v>
      </c>
      <c r="I23" s="386"/>
      <c r="J23" s="474"/>
      <c r="K23" s="386"/>
      <c r="L23" s="386"/>
      <c r="M23" s="386"/>
      <c r="N23" s="386"/>
      <c r="O23" s="386"/>
      <c r="P23" s="386"/>
      <c r="Q23" s="386"/>
      <c r="R23" s="386"/>
      <c r="S23" s="386"/>
      <c r="T23" s="386"/>
      <c r="U23" s="386"/>
      <c r="V23" s="227">
        <f t="shared" si="2"/>
        <v>0</v>
      </c>
      <c r="W23" s="227">
        <f t="shared" si="3"/>
        <v>0</v>
      </c>
      <c r="X23" s="227"/>
      <c r="Y23" s="175"/>
      <c r="Z23" s="171"/>
      <c r="AA23" s="171"/>
    </row>
    <row r="24" spans="1:27" ht="24" customHeight="1" thickBot="1">
      <c r="A24" s="241">
        <f t="shared" si="4"/>
        <v>15</v>
      </c>
      <c r="B24" s="247" t="s">
        <v>38</v>
      </c>
      <c r="C24" s="220" t="s">
        <v>35</v>
      </c>
      <c r="D24" s="536">
        <v>12618</v>
      </c>
      <c r="E24" s="536">
        <v>12618</v>
      </c>
      <c r="F24" s="406">
        <v>3564</v>
      </c>
      <c r="G24" s="406"/>
      <c r="H24" s="412">
        <v>0</v>
      </c>
      <c r="I24" s="381"/>
      <c r="J24" s="474"/>
      <c r="K24" s="383"/>
      <c r="L24" s="383"/>
      <c r="M24" s="383"/>
      <c r="N24" s="383"/>
      <c r="O24" s="383"/>
      <c r="P24" s="383"/>
      <c r="Q24" s="383"/>
      <c r="R24" s="383"/>
      <c r="S24" s="383"/>
      <c r="T24" s="383"/>
      <c r="U24" s="383"/>
      <c r="V24" s="227">
        <f t="shared" si="2"/>
        <v>0</v>
      </c>
      <c r="W24" s="227">
        <f t="shared" si="3"/>
        <v>0</v>
      </c>
      <c r="X24" s="227"/>
      <c r="Y24" s="175"/>
      <c r="Z24" s="171"/>
      <c r="AA24" s="171"/>
    </row>
    <row r="25" spans="1:27" ht="26.25" thickBot="1">
      <c r="A25" s="241">
        <f t="shared" si="4"/>
        <v>16</v>
      </c>
      <c r="B25" s="178" t="s">
        <v>39</v>
      </c>
      <c r="C25" s="233" t="s">
        <v>2</v>
      </c>
      <c r="D25" s="536">
        <v>458</v>
      </c>
      <c r="E25" s="523">
        <v>0</v>
      </c>
      <c r="F25" s="406"/>
      <c r="G25" s="406"/>
      <c r="H25" s="384"/>
      <c r="I25" s="386"/>
      <c r="J25" s="474"/>
      <c r="K25" s="386"/>
      <c r="L25" s="386"/>
      <c r="M25" s="386"/>
      <c r="N25" s="386"/>
      <c r="O25" s="386"/>
      <c r="P25" s="386"/>
      <c r="Q25" s="386"/>
      <c r="R25" s="386"/>
      <c r="S25" s="386"/>
      <c r="T25" s="386"/>
      <c r="U25" s="386"/>
      <c r="V25" s="227">
        <f t="shared" si="2"/>
        <v>0</v>
      </c>
      <c r="W25" s="227">
        <f t="shared" si="3"/>
        <v>0</v>
      </c>
      <c r="X25" s="227"/>
      <c r="Y25" s="175"/>
      <c r="Z25" s="171"/>
      <c r="AA25" s="171"/>
    </row>
    <row r="26" spans="1:27" ht="22.5" customHeight="1" thickBot="1">
      <c r="A26" s="241">
        <f t="shared" si="4"/>
        <v>17</v>
      </c>
      <c r="B26" s="247" t="s">
        <v>40</v>
      </c>
      <c r="C26" s="220" t="s">
        <v>41</v>
      </c>
      <c r="D26" s="529">
        <v>194420</v>
      </c>
      <c r="E26" s="530">
        <v>0</v>
      </c>
      <c r="F26" s="381"/>
      <c r="G26" s="381"/>
      <c r="H26" s="406"/>
      <c r="I26" s="381"/>
      <c r="J26" s="474"/>
      <c r="K26" s="383"/>
      <c r="L26" s="383"/>
      <c r="M26" s="383"/>
      <c r="N26" s="383"/>
      <c r="O26" s="383"/>
      <c r="P26" s="383"/>
      <c r="Q26" s="383"/>
      <c r="R26" s="383"/>
      <c r="S26" s="383"/>
      <c r="T26" s="383"/>
      <c r="U26" s="383"/>
      <c r="V26" s="227">
        <f t="shared" si="2"/>
        <v>0</v>
      </c>
      <c r="W26" s="227">
        <f t="shared" si="3"/>
        <v>0</v>
      </c>
      <c r="X26" s="227"/>
      <c r="Y26" s="175"/>
      <c r="Z26" s="171"/>
      <c r="AA26" s="171"/>
    </row>
    <row r="27" spans="1:27" ht="23.25" customHeight="1" thickBot="1">
      <c r="A27" s="241">
        <f t="shared" si="4"/>
        <v>18</v>
      </c>
      <c r="B27" s="247" t="s">
        <v>68</v>
      </c>
      <c r="C27" s="220" t="s">
        <v>41</v>
      </c>
      <c r="D27" s="523">
        <v>63.2</v>
      </c>
      <c r="E27" s="523">
        <v>20.1</v>
      </c>
      <c r="F27" s="381"/>
      <c r="G27" s="381"/>
      <c r="H27" s="406"/>
      <c r="I27" s="381"/>
      <c r="J27" s="474"/>
      <c r="K27" s="383"/>
      <c r="L27" s="383"/>
      <c r="M27" s="383"/>
      <c r="N27" s="383"/>
      <c r="O27" s="383"/>
      <c r="P27" s="383"/>
      <c r="Q27" s="383"/>
      <c r="R27" s="383"/>
      <c r="S27" s="383"/>
      <c r="T27" s="383"/>
      <c r="U27" s="383"/>
      <c r="V27" s="227">
        <f t="shared" si="2"/>
        <v>0</v>
      </c>
      <c r="W27" s="227">
        <f t="shared" si="3"/>
        <v>0</v>
      </c>
      <c r="X27" s="227"/>
      <c r="Y27" s="175"/>
      <c r="Z27" s="171"/>
      <c r="AA27" s="171"/>
    </row>
    <row r="28" spans="1:27" ht="21" customHeight="1" thickBot="1">
      <c r="A28" s="241">
        <f t="shared" si="4"/>
        <v>19</v>
      </c>
      <c r="B28" s="178" t="s">
        <v>43</v>
      </c>
      <c r="C28" s="233" t="s">
        <v>19</v>
      </c>
      <c r="D28" s="529">
        <v>0.458</v>
      </c>
      <c r="E28" s="530"/>
      <c r="F28" s="406"/>
      <c r="G28" s="406"/>
      <c r="H28" s="384">
        <v>0.458</v>
      </c>
      <c r="I28" s="386"/>
      <c r="J28" s="474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227">
        <f t="shared" si="2"/>
        <v>0</v>
      </c>
      <c r="W28" s="227">
        <f t="shared" si="3"/>
        <v>-0.458</v>
      </c>
      <c r="X28" s="227"/>
      <c r="Y28" s="175"/>
      <c r="Z28" s="171"/>
      <c r="AA28" s="171"/>
    </row>
    <row r="29" spans="1:27" ht="25.5" customHeight="1" thickBot="1">
      <c r="A29" s="241">
        <f t="shared" si="4"/>
        <v>20</v>
      </c>
      <c r="B29" s="247" t="s">
        <v>44</v>
      </c>
      <c r="C29" s="220" t="s">
        <v>45</v>
      </c>
      <c r="D29" s="536"/>
      <c r="E29" s="523"/>
      <c r="F29" s="381"/>
      <c r="G29" s="381"/>
      <c r="H29" s="406"/>
      <c r="I29" s="381"/>
      <c r="J29" s="480"/>
      <c r="K29" s="383"/>
      <c r="L29" s="383"/>
      <c r="M29" s="383"/>
      <c r="N29" s="383"/>
      <c r="O29" s="383"/>
      <c r="P29" s="383"/>
      <c r="Q29" s="383"/>
      <c r="R29" s="383"/>
      <c r="S29" s="383"/>
      <c r="T29" s="383"/>
      <c r="U29" s="383"/>
      <c r="V29" s="227">
        <f t="shared" si="2"/>
        <v>0</v>
      </c>
      <c r="W29" s="227">
        <f t="shared" si="3"/>
        <v>0</v>
      </c>
      <c r="X29" s="227"/>
      <c r="Y29" s="175"/>
      <c r="Z29" s="171"/>
      <c r="AA29" s="171"/>
    </row>
    <row r="30" spans="1:27" ht="20.25" customHeight="1" thickBot="1">
      <c r="A30" s="241">
        <f t="shared" si="4"/>
        <v>21</v>
      </c>
      <c r="B30" s="247" t="s">
        <v>46</v>
      </c>
      <c r="C30" s="220" t="s">
        <v>19</v>
      </c>
      <c r="D30" s="529"/>
      <c r="E30" s="530"/>
      <c r="F30" s="381"/>
      <c r="G30" s="381"/>
      <c r="H30" s="406"/>
      <c r="I30" s="381"/>
      <c r="J30" s="480"/>
      <c r="K30" s="383"/>
      <c r="L30" s="383"/>
      <c r="M30" s="383"/>
      <c r="N30" s="383"/>
      <c r="O30" s="383"/>
      <c r="P30" s="383"/>
      <c r="Q30" s="383"/>
      <c r="R30" s="383"/>
      <c r="S30" s="383"/>
      <c r="T30" s="383"/>
      <c r="U30" s="383"/>
      <c r="V30" s="227">
        <f t="shared" si="2"/>
        <v>0</v>
      </c>
      <c r="W30" s="227">
        <f t="shared" si="3"/>
        <v>0</v>
      </c>
      <c r="X30" s="227"/>
      <c r="Y30" s="175"/>
      <c r="Z30" s="171"/>
      <c r="AA30" s="171"/>
    </row>
    <row r="31" spans="1:27" ht="20.25" customHeight="1" thickBot="1">
      <c r="A31" s="241">
        <f t="shared" si="4"/>
        <v>22</v>
      </c>
      <c r="B31" s="178" t="s">
        <v>47</v>
      </c>
      <c r="C31" s="233" t="s">
        <v>19</v>
      </c>
      <c r="D31" s="536"/>
      <c r="E31" s="523"/>
      <c r="F31" s="381"/>
      <c r="G31" s="381"/>
      <c r="H31" s="406"/>
      <c r="I31" s="381"/>
      <c r="J31" s="474"/>
      <c r="K31" s="386"/>
      <c r="L31" s="386"/>
      <c r="M31" s="386"/>
      <c r="N31" s="386"/>
      <c r="O31" s="386"/>
      <c r="P31" s="386"/>
      <c r="Q31" s="386"/>
      <c r="R31" s="386"/>
      <c r="S31" s="386"/>
      <c r="T31" s="386"/>
      <c r="U31" s="386"/>
      <c r="V31" s="227">
        <f t="shared" si="2"/>
        <v>0</v>
      </c>
      <c r="W31" s="227">
        <f t="shared" si="3"/>
        <v>0</v>
      </c>
      <c r="X31" s="227"/>
      <c r="Y31" s="175"/>
      <c r="Z31" s="171"/>
      <c r="AA31" s="171"/>
    </row>
    <row r="32" spans="1:27" ht="27" customHeight="1" thickBot="1">
      <c r="A32" s="241">
        <f t="shared" si="4"/>
        <v>23</v>
      </c>
      <c r="B32" s="247" t="s">
        <v>48</v>
      </c>
      <c r="C32" s="220" t="s">
        <v>41</v>
      </c>
      <c r="D32" s="536">
        <v>123.7</v>
      </c>
      <c r="E32" s="523">
        <v>60</v>
      </c>
      <c r="F32" s="406"/>
      <c r="G32" s="381"/>
      <c r="H32" s="384">
        <v>63.7</v>
      </c>
      <c r="I32" s="386"/>
      <c r="J32" s="474">
        <v>3</v>
      </c>
      <c r="K32" s="383"/>
      <c r="L32" s="383"/>
      <c r="M32" s="383"/>
      <c r="N32" s="383"/>
      <c r="O32" s="383"/>
      <c r="P32" s="383"/>
      <c r="Q32" s="383"/>
      <c r="R32" s="383"/>
      <c r="S32" s="383"/>
      <c r="T32" s="383"/>
      <c r="U32" s="383"/>
      <c r="V32" s="227">
        <f t="shared" si="2"/>
        <v>3</v>
      </c>
      <c r="W32" s="227">
        <f t="shared" si="3"/>
        <v>-60.7</v>
      </c>
      <c r="X32" s="227"/>
      <c r="Y32" s="171"/>
      <c r="Z32" s="171"/>
      <c r="AA32" s="171"/>
    </row>
    <row r="33" spans="1:24" ht="15">
      <c r="A33" s="6"/>
      <c r="B33" s="7"/>
      <c r="C33" s="8"/>
      <c r="D33" s="8"/>
      <c r="E33" s="8"/>
      <c r="F33" s="9"/>
      <c r="G33" s="10"/>
      <c r="H33" s="10"/>
      <c r="I33" s="9"/>
      <c r="J33" s="11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15">
      <c r="A34" s="6"/>
      <c r="B34" s="7"/>
      <c r="C34" s="8"/>
      <c r="D34" s="8"/>
      <c r="E34" s="8"/>
      <c r="F34" s="9"/>
      <c r="G34" s="10"/>
      <c r="H34" s="10"/>
      <c r="I34" s="9"/>
      <c r="J34" s="11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5">
      <c r="A35" s="6"/>
      <c r="B35" s="732"/>
      <c r="C35" s="732"/>
      <c r="D35" s="732"/>
      <c r="E35" s="732"/>
      <c r="F35" s="732"/>
      <c r="G35" s="732"/>
      <c r="H35" s="732"/>
      <c r="I35" s="9"/>
      <c r="J35" s="11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ht="15">
      <c r="A36" s="6"/>
      <c r="B36" s="7"/>
      <c r="C36" s="8"/>
      <c r="F36" s="9"/>
      <c r="G36" s="10"/>
      <c r="H36" s="10"/>
      <c r="I36" s="9"/>
      <c r="J36" s="11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</sheetData>
  <sheetProtection/>
  <mergeCells count="11">
    <mergeCell ref="I5:J5"/>
    <mergeCell ref="D4:D5"/>
    <mergeCell ref="E4:E5"/>
    <mergeCell ref="B35:H35"/>
    <mergeCell ref="A1:AA2"/>
    <mergeCell ref="A4:A5"/>
    <mergeCell ref="B4:B5"/>
    <mergeCell ref="C4:C5"/>
    <mergeCell ref="F4:G4"/>
    <mergeCell ref="H4:H5"/>
    <mergeCell ref="I4:U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6"/>
  <sheetViews>
    <sheetView zoomScalePageLayoutView="0" workbookViewId="0" topLeftCell="A7">
      <selection activeCell="I19" sqref="I19"/>
    </sheetView>
  </sheetViews>
  <sheetFormatPr defaultColWidth="9.00390625" defaultRowHeight="12.75"/>
  <cols>
    <col min="1" max="1" width="6.375" style="0" customWidth="1"/>
    <col min="2" max="2" width="36.125" style="0" customWidth="1"/>
    <col min="4" max="4" width="19.75390625" style="0" customWidth="1"/>
    <col min="5" max="5" width="17.375" style="0" customWidth="1"/>
    <col min="6" max="6" width="10.625" style="0" hidden="1" customWidth="1"/>
    <col min="7" max="7" width="7.875" style="0" hidden="1" customWidth="1"/>
    <col min="8" max="8" width="10.75390625" style="0" customWidth="1"/>
    <col min="9" max="9" width="8.75390625" style="0" customWidth="1"/>
    <col min="10" max="11" width="8.25390625" style="0" customWidth="1"/>
    <col min="14" max="14" width="9.375" style="0" bestFit="1" customWidth="1"/>
    <col min="15" max="15" width="9.375" style="0" customWidth="1"/>
    <col min="16" max="16" width="9.375" style="0" bestFit="1" customWidth="1"/>
    <col min="17" max="17" width="9.875" style="0" customWidth="1"/>
    <col min="18" max="18" width="9.375" style="0" bestFit="1" customWidth="1"/>
    <col min="19" max="19" width="10.25390625" style="0" customWidth="1"/>
    <col min="20" max="21" width="7.375" style="0" customWidth="1"/>
    <col min="22" max="22" width="11.125" style="0" customWidth="1"/>
    <col min="23" max="23" width="11.625" style="0" bestFit="1" customWidth="1"/>
  </cols>
  <sheetData>
    <row r="1" spans="1:27" ht="13.5" customHeight="1">
      <c r="A1" s="739" t="s">
        <v>70</v>
      </c>
      <c r="B1" s="739"/>
      <c r="C1" s="739"/>
      <c r="D1" s="739"/>
      <c r="E1" s="739"/>
      <c r="F1" s="739"/>
      <c r="G1" s="739"/>
      <c r="H1" s="739"/>
      <c r="I1" s="739"/>
      <c r="J1" s="739"/>
      <c r="K1" s="739"/>
      <c r="L1" s="739"/>
      <c r="M1" s="739"/>
      <c r="N1" s="739"/>
      <c r="O1" s="739"/>
      <c r="P1" s="739"/>
      <c r="Q1" s="739"/>
      <c r="R1" s="739"/>
      <c r="S1" s="739"/>
      <c r="T1" s="739"/>
      <c r="U1" s="739"/>
      <c r="V1" s="739"/>
      <c r="W1" s="739"/>
      <c r="X1" s="739"/>
      <c r="Y1" s="739"/>
      <c r="Z1" s="739"/>
      <c r="AA1" s="739"/>
    </row>
    <row r="2" spans="1:27" ht="33" customHeight="1">
      <c r="A2" s="739"/>
      <c r="B2" s="739"/>
      <c r="C2" s="739"/>
      <c r="D2" s="739"/>
      <c r="E2" s="739"/>
      <c r="F2" s="739"/>
      <c r="G2" s="739"/>
      <c r="H2" s="739"/>
      <c r="I2" s="739"/>
      <c r="J2" s="739"/>
      <c r="K2" s="739"/>
      <c r="L2" s="739"/>
      <c r="M2" s="739"/>
      <c r="N2" s="739"/>
      <c r="O2" s="739"/>
      <c r="P2" s="739"/>
      <c r="Q2" s="739"/>
      <c r="R2" s="739"/>
      <c r="S2" s="739"/>
      <c r="T2" s="739"/>
      <c r="U2" s="739"/>
      <c r="V2" s="739"/>
      <c r="W2" s="739"/>
      <c r="X2" s="739"/>
      <c r="Y2" s="739"/>
      <c r="Z2" s="739"/>
      <c r="AA2" s="739"/>
    </row>
    <row r="3" spans="1:27" ht="14.25" customHeight="1" thickBot="1">
      <c r="A3" s="261"/>
      <c r="B3" s="261"/>
      <c r="C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519" t="s">
        <v>81</v>
      </c>
      <c r="S3" s="261"/>
      <c r="T3" s="520" t="s">
        <v>85</v>
      </c>
      <c r="U3" s="261"/>
      <c r="V3" s="261"/>
      <c r="W3" s="261"/>
      <c r="X3" s="261"/>
      <c r="Y3" s="261"/>
      <c r="Z3" s="261"/>
      <c r="AA3" s="261"/>
    </row>
    <row r="4" spans="1:27" ht="32.25" customHeight="1" thickBot="1">
      <c r="A4" s="740" t="s">
        <v>6</v>
      </c>
      <c r="B4" s="740" t="s">
        <v>7</v>
      </c>
      <c r="C4" s="740" t="s">
        <v>8</v>
      </c>
      <c r="D4" s="730" t="s">
        <v>83</v>
      </c>
      <c r="E4" s="730" t="s">
        <v>84</v>
      </c>
      <c r="F4" s="740" t="s">
        <v>50</v>
      </c>
      <c r="G4" s="740"/>
      <c r="H4" s="730" t="s">
        <v>82</v>
      </c>
      <c r="I4" s="741" t="s">
        <v>9</v>
      </c>
      <c r="J4" s="741"/>
      <c r="K4" s="741"/>
      <c r="L4" s="741"/>
      <c r="M4" s="741"/>
      <c r="N4" s="741"/>
      <c r="O4" s="741"/>
      <c r="P4" s="741"/>
      <c r="Q4" s="741"/>
      <c r="R4" s="741"/>
      <c r="S4" s="741"/>
      <c r="T4" s="741"/>
      <c r="U4" s="741"/>
      <c r="V4" s="262"/>
      <c r="W4" s="262"/>
      <c r="X4" s="262"/>
      <c r="Y4" s="261"/>
      <c r="Z4" s="261"/>
      <c r="AA4" s="261"/>
    </row>
    <row r="5" spans="1:27" ht="23.25" customHeight="1" thickBot="1">
      <c r="A5" s="740"/>
      <c r="B5" s="740"/>
      <c r="C5" s="740"/>
      <c r="D5" s="731"/>
      <c r="E5" s="731"/>
      <c r="F5" s="220" t="s">
        <v>49</v>
      </c>
      <c r="G5" s="374" t="s">
        <v>10</v>
      </c>
      <c r="H5" s="731"/>
      <c r="I5" s="742" t="s">
        <v>4</v>
      </c>
      <c r="J5" s="743"/>
      <c r="K5" s="220" t="s">
        <v>3</v>
      </c>
      <c r="L5" s="374" t="s">
        <v>0</v>
      </c>
      <c r="M5" s="220" t="s">
        <v>1</v>
      </c>
      <c r="N5" s="374" t="s">
        <v>5</v>
      </c>
      <c r="O5" s="220" t="s">
        <v>11</v>
      </c>
      <c r="P5" s="374" t="s">
        <v>12</v>
      </c>
      <c r="Q5" s="220" t="s">
        <v>13</v>
      </c>
      <c r="R5" s="394" t="s">
        <v>14</v>
      </c>
      <c r="S5" s="176" t="s">
        <v>15</v>
      </c>
      <c r="T5" s="392" t="s">
        <v>16</v>
      </c>
      <c r="U5" s="392" t="s">
        <v>17</v>
      </c>
      <c r="V5" s="174"/>
      <c r="W5" s="174"/>
      <c r="X5" s="174"/>
      <c r="Y5" s="264"/>
      <c r="Z5" s="261"/>
      <c r="AA5" s="261"/>
    </row>
    <row r="6" spans="1:27" ht="15.75" thickBot="1">
      <c r="A6" s="391"/>
      <c r="B6" s="391"/>
      <c r="C6" s="391"/>
      <c r="D6" s="524"/>
      <c r="E6" s="19"/>
      <c r="F6" s="414"/>
      <c r="G6" s="391"/>
      <c r="H6" s="391"/>
      <c r="I6" s="415" t="s">
        <v>49</v>
      </c>
      <c r="J6" s="474" t="s">
        <v>10</v>
      </c>
      <c r="K6" s="415"/>
      <c r="L6" s="416"/>
      <c r="M6" s="415"/>
      <c r="N6" s="416"/>
      <c r="O6" s="415"/>
      <c r="P6" s="416"/>
      <c r="Q6" s="415"/>
      <c r="R6" s="416"/>
      <c r="S6" s="415"/>
      <c r="T6" s="415"/>
      <c r="U6" s="416"/>
      <c r="V6" s="174"/>
      <c r="W6" s="174"/>
      <c r="X6" s="174"/>
      <c r="Y6" s="264"/>
      <c r="Z6" s="261"/>
      <c r="AA6" s="261"/>
    </row>
    <row r="7" spans="1:27" ht="25.5" customHeight="1" thickBot="1">
      <c r="A7" s="233">
        <v>1</v>
      </c>
      <c r="B7" s="178" t="s">
        <v>62</v>
      </c>
      <c r="C7" s="233" t="s">
        <v>19</v>
      </c>
      <c r="D7" s="541">
        <v>1014.7535</v>
      </c>
      <c r="E7" s="541">
        <v>282.24350000000004</v>
      </c>
      <c r="F7" s="647">
        <f>F8+F9+F10</f>
        <v>788.15</v>
      </c>
      <c r="G7" s="418">
        <f>G8+G9</f>
        <v>55.64</v>
      </c>
      <c r="H7" s="417">
        <f>F7-G7</f>
        <v>732.51</v>
      </c>
      <c r="I7" s="419">
        <f>I8+I9+I10</f>
        <v>0</v>
      </c>
      <c r="J7" s="467">
        <v>40.2</v>
      </c>
      <c r="K7" s="419">
        <f aca="true" t="shared" si="0" ref="K7:S7">K8+K9+K10</f>
        <v>0</v>
      </c>
      <c r="L7" s="419">
        <f t="shared" si="0"/>
        <v>20.98</v>
      </c>
      <c r="M7" s="419">
        <f t="shared" si="0"/>
        <v>81.676</v>
      </c>
      <c r="N7" s="419">
        <f>N8+N9+N10</f>
        <v>103.28999999999999</v>
      </c>
      <c r="O7" s="419">
        <f t="shared" si="0"/>
        <v>103.28999999999999</v>
      </c>
      <c r="P7" s="419">
        <f t="shared" si="0"/>
        <v>96.86999999999999</v>
      </c>
      <c r="Q7" s="419">
        <f t="shared" si="0"/>
        <v>108.3</v>
      </c>
      <c r="R7" s="419">
        <f>R8+R9+R10</f>
        <v>144.92</v>
      </c>
      <c r="S7" s="419">
        <f t="shared" si="0"/>
        <v>128.82</v>
      </c>
      <c r="T7" s="417"/>
      <c r="U7" s="420"/>
      <c r="V7" s="266">
        <f>SUM(I7:U7)</f>
        <v>828.346</v>
      </c>
      <c r="W7" s="267">
        <f>V7-H7</f>
        <v>95.83600000000001</v>
      </c>
      <c r="X7" s="182"/>
      <c r="Y7" s="264"/>
      <c r="Z7" s="261"/>
      <c r="AA7" s="261"/>
    </row>
    <row r="8" spans="1:27" ht="21" customHeight="1" thickBot="1">
      <c r="A8" s="376"/>
      <c r="B8" s="247" t="s">
        <v>63</v>
      </c>
      <c r="C8" s="376" t="s">
        <v>19</v>
      </c>
      <c r="D8" s="648">
        <v>461.11449999999996</v>
      </c>
      <c r="E8" s="541">
        <v>108.53649999999993</v>
      </c>
      <c r="F8" s="649">
        <f>10.391+67.542+274.658-0.013+29.8</f>
        <v>382.37800000000004</v>
      </c>
      <c r="G8" s="330">
        <v>29.8</v>
      </c>
      <c r="H8" s="421">
        <f aca="true" t="shared" si="1" ref="H8:H25">F8-G8</f>
        <v>352.57800000000003</v>
      </c>
      <c r="I8" s="380"/>
      <c r="J8" s="468">
        <v>8.4</v>
      </c>
      <c r="K8" s="422"/>
      <c r="L8" s="422"/>
      <c r="M8" s="422">
        <f>43.93-6.214</f>
        <v>37.716</v>
      </c>
      <c r="N8" s="422">
        <f>65.53-N10</f>
        <v>57.566</v>
      </c>
      <c r="O8" s="422">
        <f>65.53-O10</f>
        <v>57.566</v>
      </c>
      <c r="P8" s="422">
        <f>63.3-P10</f>
        <v>55.782999999999994</v>
      </c>
      <c r="Q8" s="388">
        <f>95.71-Q10</f>
        <v>87.17599999999999</v>
      </c>
      <c r="R8" s="383">
        <f>144.92-7.442</f>
        <v>137.47799999999998</v>
      </c>
      <c r="S8" s="423">
        <f>128.82-S10</f>
        <v>122.205</v>
      </c>
      <c r="T8" s="383"/>
      <c r="U8" s="424"/>
      <c r="V8" s="266">
        <f>SUM(I8:U8)</f>
        <v>563.89</v>
      </c>
      <c r="W8" s="266">
        <f>F8</f>
        <v>382.37800000000004</v>
      </c>
      <c r="X8" s="266">
        <f>W8-V8</f>
        <v>-181.51199999999994</v>
      </c>
      <c r="Y8" s="264"/>
      <c r="Z8" s="261"/>
      <c r="AA8" s="261"/>
    </row>
    <row r="9" spans="1:27" ht="24" customHeight="1" thickBot="1">
      <c r="A9" s="376"/>
      <c r="B9" s="247" t="s">
        <v>64</v>
      </c>
      <c r="C9" s="376" t="s">
        <v>19</v>
      </c>
      <c r="D9" s="648">
        <v>356.0185</v>
      </c>
      <c r="E9" s="541">
        <v>25.359500000000025</v>
      </c>
      <c r="F9" s="649">
        <f>211.788+100.421+25.84+18.45</f>
        <v>356.49899999999997</v>
      </c>
      <c r="G9" s="425">
        <v>25.84</v>
      </c>
      <c r="H9" s="421">
        <f t="shared" si="1"/>
        <v>330.659</v>
      </c>
      <c r="I9" s="388"/>
      <c r="J9" s="468">
        <v>31.8</v>
      </c>
      <c r="K9" s="422"/>
      <c r="L9" s="422">
        <v>20.98</v>
      </c>
      <c r="M9" s="422">
        <v>37.76</v>
      </c>
      <c r="N9" s="422">
        <v>37.76</v>
      </c>
      <c r="O9" s="422">
        <v>37.76</v>
      </c>
      <c r="P9" s="422">
        <v>33.57</v>
      </c>
      <c r="Q9" s="388">
        <v>12.59</v>
      </c>
      <c r="R9" s="343"/>
      <c r="S9" s="383"/>
      <c r="T9" s="383"/>
      <c r="U9" s="424"/>
      <c r="V9" s="266">
        <f>SUM(I9:U9)</f>
        <v>212.21999999999997</v>
      </c>
      <c r="W9" s="268"/>
      <c r="X9" s="182"/>
      <c r="Y9" s="264"/>
      <c r="Z9" s="261"/>
      <c r="AA9" s="261"/>
    </row>
    <row r="10" spans="1:27" ht="24" customHeight="1" thickBot="1">
      <c r="A10" s="376"/>
      <c r="B10" s="247" t="s">
        <v>65</v>
      </c>
      <c r="C10" s="376" t="s">
        <v>19</v>
      </c>
      <c r="D10" s="541">
        <v>197.6205</v>
      </c>
      <c r="E10" s="541">
        <v>148.3475</v>
      </c>
      <c r="F10" s="650">
        <v>49.273</v>
      </c>
      <c r="G10" s="379"/>
      <c r="H10" s="421">
        <f t="shared" si="1"/>
        <v>49.273</v>
      </c>
      <c r="I10" s="380"/>
      <c r="J10" s="469"/>
      <c r="K10" s="427"/>
      <c r="L10" s="427"/>
      <c r="M10" s="427">
        <v>6.2</v>
      </c>
      <c r="N10" s="427">
        <v>7.964</v>
      </c>
      <c r="O10" s="427">
        <v>7.964</v>
      </c>
      <c r="P10" s="427">
        <v>7.517</v>
      </c>
      <c r="Q10" s="427">
        <v>8.534</v>
      </c>
      <c r="R10" s="427">
        <v>7.442</v>
      </c>
      <c r="S10" s="427">
        <v>6.615</v>
      </c>
      <c r="T10" s="381"/>
      <c r="U10" s="428"/>
      <c r="V10" s="266">
        <f>SUM(I10:U10)</f>
        <v>52.236000000000004</v>
      </c>
      <c r="W10" s="271">
        <f>V10-H10</f>
        <v>2.963000000000001</v>
      </c>
      <c r="X10" s="182"/>
      <c r="Y10" s="264"/>
      <c r="Z10" s="261"/>
      <c r="AA10" s="261"/>
    </row>
    <row r="11" spans="1:27" ht="22.5" customHeight="1" thickBot="1">
      <c r="A11" s="220">
        <v>2</v>
      </c>
      <c r="B11" s="413" t="s">
        <v>23</v>
      </c>
      <c r="C11" s="220" t="s">
        <v>19</v>
      </c>
      <c r="D11" s="648">
        <v>6.25</v>
      </c>
      <c r="E11" s="541">
        <v>6.25</v>
      </c>
      <c r="F11" s="651"/>
      <c r="G11" s="430"/>
      <c r="H11" s="426"/>
      <c r="I11" s="430"/>
      <c r="J11" s="470"/>
      <c r="K11" s="430"/>
      <c r="L11" s="430"/>
      <c r="M11" s="430"/>
      <c r="N11" s="430"/>
      <c r="O11" s="430"/>
      <c r="P11" s="430"/>
      <c r="Q11" s="430"/>
      <c r="R11" s="430"/>
      <c r="S11" s="430"/>
      <c r="T11" s="430"/>
      <c r="U11" s="430"/>
      <c r="V11" s="266">
        <f aca="true" t="shared" si="2" ref="V11:V34">SUM(I11:U11)</f>
        <v>0</v>
      </c>
      <c r="W11" s="267">
        <f aca="true" t="shared" si="3" ref="W11:W34">V11-H11</f>
        <v>0</v>
      </c>
      <c r="X11" s="182"/>
      <c r="Y11" s="264"/>
      <c r="Z11" s="261"/>
      <c r="AA11" s="261"/>
    </row>
    <row r="12" spans="1:27" ht="22.5" customHeight="1" thickBot="1">
      <c r="A12" s="233">
        <v>3</v>
      </c>
      <c r="B12" s="178" t="s">
        <v>66</v>
      </c>
      <c r="C12" s="233" t="s">
        <v>19</v>
      </c>
      <c r="D12" s="541">
        <v>1004.26</v>
      </c>
      <c r="E12" s="541">
        <v>932.86</v>
      </c>
      <c r="F12" s="652">
        <v>71.4</v>
      </c>
      <c r="G12" s="431"/>
      <c r="H12" s="419">
        <v>71.4</v>
      </c>
      <c r="I12" s="432">
        <v>14</v>
      </c>
      <c r="J12" s="471"/>
      <c r="K12" s="432">
        <v>14</v>
      </c>
      <c r="L12" s="432">
        <v>14</v>
      </c>
      <c r="M12" s="432">
        <v>14</v>
      </c>
      <c r="N12" s="432">
        <v>4</v>
      </c>
      <c r="O12" s="432">
        <v>6</v>
      </c>
      <c r="P12" s="432">
        <v>5.4</v>
      </c>
      <c r="Q12" s="432"/>
      <c r="R12" s="432"/>
      <c r="S12" s="432"/>
      <c r="T12" s="405"/>
      <c r="U12" s="405"/>
      <c r="V12" s="266">
        <f>SUM(J12:U12)</f>
        <v>57.4</v>
      </c>
      <c r="W12" s="267">
        <f t="shared" si="3"/>
        <v>-14.000000000000007</v>
      </c>
      <c r="X12" s="182"/>
      <c r="Y12" s="264"/>
      <c r="Z12" s="261"/>
      <c r="AA12" s="261"/>
    </row>
    <row r="13" spans="1:27" ht="20.25" customHeight="1" thickBot="1">
      <c r="A13" s="241">
        <f>1+A12</f>
        <v>4</v>
      </c>
      <c r="B13" s="188" t="s">
        <v>25</v>
      </c>
      <c r="C13" s="241" t="s">
        <v>19</v>
      </c>
      <c r="D13" s="653">
        <v>12.68</v>
      </c>
      <c r="E13" s="541">
        <v>12.68</v>
      </c>
      <c r="F13" s="654"/>
      <c r="G13" s="433"/>
      <c r="H13" s="426"/>
      <c r="I13" s="425"/>
      <c r="J13" s="472"/>
      <c r="K13" s="425"/>
      <c r="L13" s="425"/>
      <c r="M13" s="425"/>
      <c r="N13" s="425"/>
      <c r="O13" s="425"/>
      <c r="P13" s="425"/>
      <c r="Q13" s="425"/>
      <c r="R13" s="425"/>
      <c r="S13" s="425"/>
      <c r="T13" s="430"/>
      <c r="U13" s="430"/>
      <c r="V13" s="266">
        <f t="shared" si="2"/>
        <v>0</v>
      </c>
      <c r="W13" s="267">
        <f t="shared" si="3"/>
        <v>0</v>
      </c>
      <c r="X13" s="182"/>
      <c r="Y13" s="264"/>
      <c r="Z13" s="261"/>
      <c r="AA13" s="261"/>
    </row>
    <row r="14" spans="1:27" ht="19.5" customHeight="1" thickBot="1">
      <c r="A14" s="241">
        <f aca="true" t="shared" si="4" ref="A14:A32">1+A13</f>
        <v>5</v>
      </c>
      <c r="B14" s="178" t="s">
        <v>67</v>
      </c>
      <c r="C14" s="233" t="s">
        <v>19</v>
      </c>
      <c r="D14" s="541">
        <v>36.5</v>
      </c>
      <c r="E14" s="541">
        <v>18.88</v>
      </c>
      <c r="F14" s="655">
        <f>25.8-1.5-6.68</f>
        <v>17.62</v>
      </c>
      <c r="G14" s="404"/>
      <c r="H14" s="417">
        <f>F14-G14</f>
        <v>17.62</v>
      </c>
      <c r="I14" s="405"/>
      <c r="J14" s="473"/>
      <c r="K14" s="405"/>
      <c r="L14" s="434"/>
      <c r="M14" s="434">
        <v>1.66</v>
      </c>
      <c r="N14" s="434">
        <v>2.44</v>
      </c>
      <c r="O14" s="434">
        <v>2.44</v>
      </c>
      <c r="P14" s="434">
        <v>2.35</v>
      </c>
      <c r="Q14" s="434">
        <v>2.82</v>
      </c>
      <c r="R14" s="434">
        <v>3.13</v>
      </c>
      <c r="S14" s="434">
        <v>2.78</v>
      </c>
      <c r="T14" s="405"/>
      <c r="U14" s="405"/>
      <c r="V14" s="266">
        <f t="shared" si="2"/>
        <v>17.62</v>
      </c>
      <c r="W14" s="267">
        <f t="shared" si="3"/>
        <v>0</v>
      </c>
      <c r="X14" s="182"/>
      <c r="Y14" s="264"/>
      <c r="Z14" s="261"/>
      <c r="AA14" s="261"/>
    </row>
    <row r="15" spans="1:27" ht="22.5" customHeight="1" thickBot="1">
      <c r="A15" s="241">
        <f t="shared" si="4"/>
        <v>6</v>
      </c>
      <c r="B15" s="188" t="s">
        <v>27</v>
      </c>
      <c r="C15" s="241" t="s">
        <v>19</v>
      </c>
      <c r="D15" s="653"/>
      <c r="E15" s="541">
        <v>0</v>
      </c>
      <c r="F15" s="654"/>
      <c r="G15" s="430"/>
      <c r="H15" s="426"/>
      <c r="I15" s="430"/>
      <c r="J15" s="470"/>
      <c r="K15" s="430"/>
      <c r="L15" s="430"/>
      <c r="M15" s="430"/>
      <c r="N15" s="430"/>
      <c r="O15" s="430"/>
      <c r="P15" s="430"/>
      <c r="Q15" s="430"/>
      <c r="R15" s="430"/>
      <c r="S15" s="430"/>
      <c r="T15" s="430"/>
      <c r="U15" s="430"/>
      <c r="V15" s="266">
        <f t="shared" si="2"/>
        <v>0</v>
      </c>
      <c r="W15" s="267">
        <f t="shared" si="3"/>
        <v>0</v>
      </c>
      <c r="X15" s="182"/>
      <c r="Y15" s="264"/>
      <c r="Z15" s="261"/>
      <c r="AA15" s="261"/>
    </row>
    <row r="16" spans="1:27" ht="20.25" customHeight="1" thickBot="1">
      <c r="A16" s="241">
        <f t="shared" si="4"/>
        <v>7</v>
      </c>
      <c r="B16" s="178" t="s">
        <v>28</v>
      </c>
      <c r="C16" s="233" t="s">
        <v>29</v>
      </c>
      <c r="D16" s="541">
        <v>1</v>
      </c>
      <c r="E16" s="541"/>
      <c r="F16" s="655"/>
      <c r="G16" s="404"/>
      <c r="H16" s="417"/>
      <c r="I16" s="405"/>
      <c r="J16" s="473"/>
      <c r="K16" s="432"/>
      <c r="L16" s="405"/>
      <c r="M16" s="405"/>
      <c r="N16" s="405"/>
      <c r="O16" s="405"/>
      <c r="P16" s="405"/>
      <c r="Q16" s="405"/>
      <c r="R16" s="405"/>
      <c r="S16" s="405"/>
      <c r="T16" s="405"/>
      <c r="U16" s="405"/>
      <c r="V16" s="266">
        <f t="shared" si="2"/>
        <v>0</v>
      </c>
      <c r="W16" s="267">
        <f t="shared" si="3"/>
        <v>0</v>
      </c>
      <c r="X16" s="182"/>
      <c r="Y16" s="264"/>
      <c r="Z16" s="261"/>
      <c r="AA16" s="261"/>
    </row>
    <row r="17" spans="1:27" ht="21.75" customHeight="1" thickBot="1">
      <c r="A17" s="241">
        <f t="shared" si="4"/>
        <v>8</v>
      </c>
      <c r="B17" s="188" t="s">
        <v>30</v>
      </c>
      <c r="C17" s="241" t="s">
        <v>31</v>
      </c>
      <c r="D17" s="653">
        <v>761.19</v>
      </c>
      <c r="E17" s="541">
        <v>551.4</v>
      </c>
      <c r="F17" s="654">
        <v>209.79</v>
      </c>
      <c r="G17" s="430"/>
      <c r="H17" s="420">
        <f t="shared" si="1"/>
        <v>209.79</v>
      </c>
      <c r="I17" s="425">
        <v>52.4475</v>
      </c>
      <c r="J17" s="472"/>
      <c r="K17" s="425">
        <v>52.45</v>
      </c>
      <c r="L17" s="425">
        <v>52.45</v>
      </c>
      <c r="M17" s="425">
        <v>52.442</v>
      </c>
      <c r="N17" s="425"/>
      <c r="O17" s="425"/>
      <c r="P17" s="430"/>
      <c r="Q17" s="430"/>
      <c r="R17" s="430"/>
      <c r="S17" s="430"/>
      <c r="T17" s="430"/>
      <c r="U17" s="430"/>
      <c r="V17" s="266">
        <f t="shared" si="2"/>
        <v>209.78950000000003</v>
      </c>
      <c r="W17" s="267">
        <f t="shared" si="3"/>
        <v>-0.0004999999999597549</v>
      </c>
      <c r="X17" s="182"/>
      <c r="Y17" s="264"/>
      <c r="Z17" s="261"/>
      <c r="AA17" s="261"/>
    </row>
    <row r="18" spans="1:27" ht="21.75" customHeight="1" thickBot="1">
      <c r="A18" s="241">
        <f t="shared" si="4"/>
        <v>9</v>
      </c>
      <c r="B18" s="188"/>
      <c r="C18" s="241"/>
      <c r="D18" s="541"/>
      <c r="E18" s="541">
        <v>0</v>
      </c>
      <c r="F18" s="654"/>
      <c r="G18" s="430"/>
      <c r="H18" s="420"/>
      <c r="I18" s="430"/>
      <c r="J18" s="472"/>
      <c r="K18" s="425"/>
      <c r="L18" s="425"/>
      <c r="M18" s="425"/>
      <c r="N18" s="425"/>
      <c r="O18" s="425"/>
      <c r="P18" s="430"/>
      <c r="Q18" s="430"/>
      <c r="R18" s="430"/>
      <c r="S18" s="430"/>
      <c r="T18" s="430"/>
      <c r="U18" s="430"/>
      <c r="V18" s="266"/>
      <c r="W18" s="267"/>
      <c r="X18" s="182"/>
      <c r="Y18" s="264"/>
      <c r="Z18" s="261"/>
      <c r="AA18" s="261"/>
    </row>
    <row r="19" spans="1:27" ht="21" customHeight="1" thickBot="1">
      <c r="A19" s="241">
        <f t="shared" si="4"/>
        <v>10</v>
      </c>
      <c r="B19" s="178" t="s">
        <v>32</v>
      </c>
      <c r="C19" s="233" t="s">
        <v>2</v>
      </c>
      <c r="D19" s="653">
        <v>2824</v>
      </c>
      <c r="E19" s="541">
        <v>0</v>
      </c>
      <c r="F19" s="655">
        <f>2592+232</f>
        <v>2824</v>
      </c>
      <c r="G19" s="404"/>
      <c r="H19" s="435">
        <f t="shared" si="1"/>
        <v>2824</v>
      </c>
      <c r="I19" s="405"/>
      <c r="J19" s="473"/>
      <c r="K19" s="405"/>
      <c r="L19" s="405">
        <v>471</v>
      </c>
      <c r="M19" s="405">
        <v>471</v>
      </c>
      <c r="N19" s="405">
        <v>471</v>
      </c>
      <c r="O19" s="405">
        <v>471</v>
      </c>
      <c r="P19" s="405">
        <v>470</v>
      </c>
      <c r="Q19" s="405">
        <v>470</v>
      </c>
      <c r="R19" s="405"/>
      <c r="S19" s="405"/>
      <c r="T19" s="405"/>
      <c r="U19" s="405"/>
      <c r="V19" s="266">
        <f t="shared" si="2"/>
        <v>2824</v>
      </c>
      <c r="W19" s="267">
        <f t="shared" si="3"/>
        <v>0</v>
      </c>
      <c r="X19" s="182"/>
      <c r="Y19" s="264"/>
      <c r="Z19" s="261"/>
      <c r="AA19" s="261"/>
    </row>
    <row r="20" spans="1:27" ht="19.5" customHeight="1" thickBot="1">
      <c r="A20" s="241">
        <f t="shared" si="4"/>
        <v>11</v>
      </c>
      <c r="B20" s="188" t="s">
        <v>33</v>
      </c>
      <c r="C20" s="233" t="s">
        <v>35</v>
      </c>
      <c r="D20" s="541"/>
      <c r="E20" s="541">
        <v>0</v>
      </c>
      <c r="F20" s="654"/>
      <c r="G20" s="430"/>
      <c r="H20" s="436"/>
      <c r="I20" s="430"/>
      <c r="J20" s="470"/>
      <c r="K20" s="430"/>
      <c r="L20" s="430"/>
      <c r="M20" s="430"/>
      <c r="N20" s="430"/>
      <c r="O20" s="430"/>
      <c r="P20" s="430"/>
      <c r="Q20" s="430"/>
      <c r="R20" s="430"/>
      <c r="S20" s="430"/>
      <c r="T20" s="430"/>
      <c r="U20" s="430"/>
      <c r="V20" s="266">
        <f t="shared" si="2"/>
        <v>0</v>
      </c>
      <c r="W20" s="267">
        <f t="shared" si="3"/>
        <v>0</v>
      </c>
      <c r="X20" s="182"/>
      <c r="Y20" s="264"/>
      <c r="Z20" s="261"/>
      <c r="AA20" s="261"/>
    </row>
    <row r="21" spans="1:27" ht="20.25" customHeight="1" thickBot="1">
      <c r="A21" s="241">
        <f t="shared" si="4"/>
        <v>12</v>
      </c>
      <c r="B21" s="178" t="s">
        <v>34</v>
      </c>
      <c r="C21" s="233" t="s">
        <v>35</v>
      </c>
      <c r="D21" s="656">
        <v>1363</v>
      </c>
      <c r="E21" s="541">
        <v>0</v>
      </c>
      <c r="F21" s="657">
        <v>1363</v>
      </c>
      <c r="G21" s="405"/>
      <c r="H21" s="435">
        <f t="shared" si="1"/>
        <v>1363</v>
      </c>
      <c r="I21" s="405"/>
      <c r="J21" s="473"/>
      <c r="K21" s="405"/>
      <c r="L21" s="405"/>
      <c r="M21" s="405"/>
      <c r="N21" s="405">
        <f>F21/4</f>
        <v>340.75</v>
      </c>
      <c r="O21" s="405">
        <v>340.75</v>
      </c>
      <c r="P21" s="405">
        <v>340.75</v>
      </c>
      <c r="Q21" s="405">
        <v>340.75</v>
      </c>
      <c r="R21" s="405"/>
      <c r="S21" s="405"/>
      <c r="T21" s="405"/>
      <c r="U21" s="405"/>
      <c r="V21" s="266">
        <f t="shared" si="2"/>
        <v>1363</v>
      </c>
      <c r="W21" s="267">
        <f t="shared" si="3"/>
        <v>0</v>
      </c>
      <c r="X21" s="182"/>
      <c r="Y21" s="264"/>
      <c r="Z21" s="261"/>
      <c r="AA21" s="261"/>
    </row>
    <row r="22" spans="1:27" ht="24" customHeight="1" thickBot="1">
      <c r="A22" s="241">
        <f t="shared" si="4"/>
        <v>13</v>
      </c>
      <c r="B22" s="247" t="s">
        <v>36</v>
      </c>
      <c r="C22" s="220" t="s">
        <v>2</v>
      </c>
      <c r="D22" s="658">
        <v>461</v>
      </c>
      <c r="E22" s="541">
        <v>0</v>
      </c>
      <c r="F22" s="654">
        <f>222+36+2+3+198</f>
        <v>461</v>
      </c>
      <c r="G22" s="430"/>
      <c r="H22" s="437">
        <f t="shared" si="1"/>
        <v>461</v>
      </c>
      <c r="I22" s="430"/>
      <c r="J22" s="470"/>
      <c r="K22" s="430"/>
      <c r="L22" s="430"/>
      <c r="M22" s="430"/>
      <c r="N22" s="430"/>
      <c r="O22" s="430"/>
      <c r="P22" s="430"/>
      <c r="Q22" s="430">
        <v>461</v>
      </c>
      <c r="R22" s="430"/>
      <c r="S22" s="430"/>
      <c r="T22" s="430"/>
      <c r="U22" s="430"/>
      <c r="V22" s="266">
        <f t="shared" si="2"/>
        <v>461</v>
      </c>
      <c r="W22" s="267">
        <f t="shared" si="3"/>
        <v>0</v>
      </c>
      <c r="X22" s="182"/>
      <c r="Y22" s="272"/>
      <c r="Z22" s="261"/>
      <c r="AA22" s="261"/>
    </row>
    <row r="23" spans="1:27" ht="20.25" customHeight="1" thickBot="1">
      <c r="A23" s="241">
        <f t="shared" si="4"/>
        <v>14</v>
      </c>
      <c r="B23" s="178" t="s">
        <v>37</v>
      </c>
      <c r="C23" s="233" t="s">
        <v>2</v>
      </c>
      <c r="D23" s="656">
        <v>183</v>
      </c>
      <c r="E23" s="541">
        <v>0</v>
      </c>
      <c r="F23" s="657">
        <f>141+42</f>
        <v>183</v>
      </c>
      <c r="G23" s="405"/>
      <c r="H23" s="419">
        <f t="shared" si="1"/>
        <v>183</v>
      </c>
      <c r="I23" s="405"/>
      <c r="J23" s="473"/>
      <c r="K23" s="405"/>
      <c r="L23" s="405"/>
      <c r="M23" s="405">
        <v>91</v>
      </c>
      <c r="N23" s="405">
        <v>92</v>
      </c>
      <c r="O23" s="405"/>
      <c r="P23" s="405"/>
      <c r="Q23" s="405"/>
      <c r="R23" s="405"/>
      <c r="S23" s="405"/>
      <c r="T23" s="405"/>
      <c r="U23" s="405"/>
      <c r="V23" s="266">
        <f t="shared" si="2"/>
        <v>183</v>
      </c>
      <c r="W23" s="267">
        <f t="shared" si="3"/>
        <v>0</v>
      </c>
      <c r="X23" s="182"/>
      <c r="Y23" s="264"/>
      <c r="Z23" s="261"/>
      <c r="AA23" s="261"/>
    </row>
    <row r="24" spans="1:27" ht="24" customHeight="1" thickBot="1">
      <c r="A24" s="241">
        <f t="shared" si="4"/>
        <v>15</v>
      </c>
      <c r="B24" s="247" t="s">
        <v>38</v>
      </c>
      <c r="C24" s="220" t="s">
        <v>35</v>
      </c>
      <c r="D24" s="658"/>
      <c r="E24" s="541">
        <v>0</v>
      </c>
      <c r="F24" s="654"/>
      <c r="G24" s="430"/>
      <c r="H24" s="437"/>
      <c r="I24" s="430"/>
      <c r="J24" s="470"/>
      <c r="K24" s="430"/>
      <c r="L24" s="430"/>
      <c r="M24" s="430"/>
      <c r="N24" s="430"/>
      <c r="O24" s="430"/>
      <c r="P24" s="430"/>
      <c r="Q24" s="430"/>
      <c r="R24" s="430"/>
      <c r="S24" s="430"/>
      <c r="T24" s="430"/>
      <c r="U24" s="430"/>
      <c r="V24" s="266">
        <f t="shared" si="2"/>
        <v>0</v>
      </c>
      <c r="W24" s="267">
        <f t="shared" si="3"/>
        <v>0</v>
      </c>
      <c r="X24" s="182"/>
      <c r="Y24" s="264"/>
      <c r="Z24" s="261"/>
      <c r="AA24" s="261"/>
    </row>
    <row r="25" spans="1:27" ht="26.25" thickBot="1">
      <c r="A25" s="241">
        <f t="shared" si="4"/>
        <v>16</v>
      </c>
      <c r="B25" s="178" t="s">
        <v>39</v>
      </c>
      <c r="C25" s="233" t="s">
        <v>2</v>
      </c>
      <c r="D25" s="656">
        <v>461</v>
      </c>
      <c r="E25" s="541">
        <v>0</v>
      </c>
      <c r="F25" s="655">
        <f>222+36+2+3+198</f>
        <v>461</v>
      </c>
      <c r="G25" s="404"/>
      <c r="H25" s="419">
        <f t="shared" si="1"/>
        <v>461</v>
      </c>
      <c r="I25" s="405"/>
      <c r="J25" s="473"/>
      <c r="K25" s="405"/>
      <c r="L25" s="405"/>
      <c r="M25" s="405"/>
      <c r="N25" s="405"/>
      <c r="O25" s="405"/>
      <c r="P25" s="405"/>
      <c r="Q25" s="405">
        <v>461</v>
      </c>
      <c r="R25" s="405"/>
      <c r="S25" s="405"/>
      <c r="T25" s="405"/>
      <c r="U25" s="405"/>
      <c r="V25" s="266">
        <f t="shared" si="2"/>
        <v>461</v>
      </c>
      <c r="W25" s="267">
        <f t="shared" si="3"/>
        <v>0</v>
      </c>
      <c r="X25" s="182"/>
      <c r="Y25" s="264"/>
      <c r="Z25" s="261"/>
      <c r="AA25" s="261"/>
    </row>
    <row r="26" spans="1:27" ht="20.25" customHeight="1" thickBot="1">
      <c r="A26" s="241">
        <f t="shared" si="4"/>
        <v>17</v>
      </c>
      <c r="B26" s="247" t="s">
        <v>40</v>
      </c>
      <c r="C26" s="220" t="s">
        <v>41</v>
      </c>
      <c r="D26" s="656"/>
      <c r="E26" s="541">
        <v>0</v>
      </c>
      <c r="F26" s="654"/>
      <c r="G26" s="430"/>
      <c r="H26" s="430"/>
      <c r="I26" s="430"/>
      <c r="J26" s="470"/>
      <c r="K26" s="430"/>
      <c r="L26" s="430"/>
      <c r="M26" s="430"/>
      <c r="N26" s="430"/>
      <c r="O26" s="430"/>
      <c r="P26" s="430"/>
      <c r="Q26" s="430"/>
      <c r="R26" s="430"/>
      <c r="S26" s="430"/>
      <c r="T26" s="430"/>
      <c r="U26" s="430"/>
      <c r="V26" s="266">
        <f t="shared" si="2"/>
        <v>0</v>
      </c>
      <c r="W26" s="267">
        <f t="shared" si="3"/>
        <v>0</v>
      </c>
      <c r="X26" s="182"/>
      <c r="Y26" s="264"/>
      <c r="Z26" s="261"/>
      <c r="AA26" s="261"/>
    </row>
    <row r="27" spans="1:27" ht="23.25" customHeight="1" thickBot="1">
      <c r="A27" s="241">
        <f t="shared" si="4"/>
        <v>18</v>
      </c>
      <c r="B27" s="247" t="s">
        <v>68</v>
      </c>
      <c r="C27" s="220" t="s">
        <v>41</v>
      </c>
      <c r="D27" s="658"/>
      <c r="E27" s="541">
        <v>0</v>
      </c>
      <c r="F27" s="654"/>
      <c r="G27" s="430"/>
      <c r="H27" s="430"/>
      <c r="I27" s="430"/>
      <c r="J27" s="470"/>
      <c r="K27" s="429"/>
      <c r="L27" s="430"/>
      <c r="M27" s="430"/>
      <c r="N27" s="430"/>
      <c r="O27" s="430"/>
      <c r="P27" s="430"/>
      <c r="Q27" s="430"/>
      <c r="R27" s="430"/>
      <c r="S27" s="430"/>
      <c r="T27" s="430"/>
      <c r="U27" s="430"/>
      <c r="V27" s="266">
        <f t="shared" si="2"/>
        <v>0</v>
      </c>
      <c r="W27" s="267">
        <f t="shared" si="3"/>
        <v>0</v>
      </c>
      <c r="X27" s="182"/>
      <c r="Y27" s="264"/>
      <c r="Z27" s="261"/>
      <c r="AA27" s="261"/>
    </row>
    <row r="28" spans="1:27" ht="21" customHeight="1" thickBot="1">
      <c r="A28" s="241">
        <f t="shared" si="4"/>
        <v>19</v>
      </c>
      <c r="B28" s="178" t="s">
        <v>43</v>
      </c>
      <c r="C28" s="233" t="s">
        <v>19</v>
      </c>
      <c r="D28" s="656"/>
      <c r="E28" s="541">
        <v>0</v>
      </c>
      <c r="F28" s="655"/>
      <c r="G28" s="404"/>
      <c r="H28" s="404"/>
      <c r="I28" s="405"/>
      <c r="J28" s="473"/>
      <c r="K28" s="405"/>
      <c r="L28" s="405"/>
      <c r="M28" s="405"/>
      <c r="N28" s="405"/>
      <c r="O28" s="405"/>
      <c r="P28" s="405"/>
      <c r="Q28" s="405"/>
      <c r="R28" s="405"/>
      <c r="S28" s="405"/>
      <c r="T28" s="405"/>
      <c r="U28" s="405"/>
      <c r="V28" s="266">
        <f t="shared" si="2"/>
        <v>0</v>
      </c>
      <c r="W28" s="267">
        <f t="shared" si="3"/>
        <v>0</v>
      </c>
      <c r="X28" s="182"/>
      <c r="Y28" s="264"/>
      <c r="Z28" s="261"/>
      <c r="AA28" s="261"/>
    </row>
    <row r="29" spans="1:27" ht="25.5" customHeight="1" thickBot="1">
      <c r="A29" s="241">
        <f t="shared" si="4"/>
        <v>20</v>
      </c>
      <c r="B29" s="247" t="s">
        <v>44</v>
      </c>
      <c r="C29" s="220" t="s">
        <v>45</v>
      </c>
      <c r="D29" s="656">
        <v>25029</v>
      </c>
      <c r="E29" s="541">
        <v>25029</v>
      </c>
      <c r="F29" s="654"/>
      <c r="G29" s="430"/>
      <c r="H29" s="430"/>
      <c r="I29" s="430"/>
      <c r="J29" s="470"/>
      <c r="K29" s="430"/>
      <c r="L29" s="430"/>
      <c r="M29" s="430"/>
      <c r="N29" s="430"/>
      <c r="O29" s="430"/>
      <c r="P29" s="430"/>
      <c r="Q29" s="430"/>
      <c r="R29" s="430"/>
      <c r="S29" s="430"/>
      <c r="T29" s="430"/>
      <c r="U29" s="430"/>
      <c r="V29" s="266">
        <f t="shared" si="2"/>
        <v>0</v>
      </c>
      <c r="W29" s="267">
        <f t="shared" si="3"/>
        <v>0</v>
      </c>
      <c r="X29" s="182"/>
      <c r="Y29" s="264"/>
      <c r="Z29" s="261"/>
      <c r="AA29" s="261"/>
    </row>
    <row r="30" spans="1:27" ht="20.25" customHeight="1" thickBot="1">
      <c r="A30" s="241">
        <f t="shared" si="4"/>
        <v>21</v>
      </c>
      <c r="B30" s="247" t="s">
        <v>46</v>
      </c>
      <c r="C30" s="220" t="s">
        <v>19</v>
      </c>
      <c r="D30" s="658"/>
      <c r="E30" s="541">
        <v>0</v>
      </c>
      <c r="F30" s="654"/>
      <c r="G30" s="430"/>
      <c r="H30" s="430"/>
      <c r="I30" s="430"/>
      <c r="J30" s="470"/>
      <c r="K30" s="430"/>
      <c r="L30" s="430"/>
      <c r="M30" s="430"/>
      <c r="N30" s="430"/>
      <c r="O30" s="430"/>
      <c r="P30" s="430"/>
      <c r="Q30" s="430"/>
      <c r="R30" s="430"/>
      <c r="S30" s="430"/>
      <c r="T30" s="430"/>
      <c r="U30" s="430"/>
      <c r="V30" s="266">
        <f t="shared" si="2"/>
        <v>0</v>
      </c>
      <c r="W30" s="267">
        <f t="shared" si="3"/>
        <v>0</v>
      </c>
      <c r="X30" s="182"/>
      <c r="Y30" s="264"/>
      <c r="Z30" s="261"/>
      <c r="AA30" s="261"/>
    </row>
    <row r="31" spans="1:27" ht="20.25" customHeight="1" thickBot="1">
      <c r="A31" s="241">
        <f t="shared" si="4"/>
        <v>22</v>
      </c>
      <c r="B31" s="178" t="s">
        <v>47</v>
      </c>
      <c r="C31" s="233" t="s">
        <v>19</v>
      </c>
      <c r="D31" s="656"/>
      <c r="E31" s="541">
        <v>0</v>
      </c>
      <c r="F31" s="657"/>
      <c r="G31" s="405"/>
      <c r="H31" s="405"/>
      <c r="I31" s="405"/>
      <c r="J31" s="473"/>
      <c r="K31" s="405"/>
      <c r="L31" s="405"/>
      <c r="M31" s="405"/>
      <c r="N31" s="405"/>
      <c r="O31" s="405"/>
      <c r="P31" s="405"/>
      <c r="Q31" s="405"/>
      <c r="R31" s="405"/>
      <c r="S31" s="405"/>
      <c r="T31" s="405"/>
      <c r="U31" s="405"/>
      <c r="V31" s="266">
        <f t="shared" si="2"/>
        <v>0</v>
      </c>
      <c r="W31" s="267">
        <f t="shared" si="3"/>
        <v>0</v>
      </c>
      <c r="X31" s="182"/>
      <c r="Y31" s="264"/>
      <c r="Z31" s="261"/>
      <c r="AA31" s="261"/>
    </row>
    <row r="32" spans="1:27" ht="27" customHeight="1" thickBot="1">
      <c r="A32" s="241">
        <f t="shared" si="4"/>
        <v>23</v>
      </c>
      <c r="B32" s="247" t="s">
        <v>48</v>
      </c>
      <c r="C32" s="220" t="s">
        <v>41</v>
      </c>
      <c r="D32" s="656">
        <v>46.4</v>
      </c>
      <c r="E32" s="541">
        <v>0</v>
      </c>
      <c r="F32" s="654">
        <v>46.4</v>
      </c>
      <c r="G32" s="430"/>
      <c r="H32" s="430">
        <v>46.4</v>
      </c>
      <c r="I32" s="430"/>
      <c r="J32" s="470"/>
      <c r="K32" s="430"/>
      <c r="L32" s="430">
        <v>46.4</v>
      </c>
      <c r="M32" s="430"/>
      <c r="N32" s="430"/>
      <c r="O32" s="430"/>
      <c r="P32" s="430"/>
      <c r="Q32" s="430"/>
      <c r="R32" s="430"/>
      <c r="S32" s="430"/>
      <c r="T32" s="430"/>
      <c r="U32" s="430"/>
      <c r="V32" s="266">
        <f t="shared" si="2"/>
        <v>46.4</v>
      </c>
      <c r="W32" s="267">
        <f t="shared" si="3"/>
        <v>0</v>
      </c>
      <c r="X32" s="182"/>
      <c r="Y32" s="261"/>
      <c r="Z32" s="261"/>
      <c r="AA32" s="261"/>
    </row>
    <row r="33" spans="1:27" ht="15">
      <c r="A33" s="273"/>
      <c r="B33" s="274"/>
      <c r="C33" s="275"/>
      <c r="D33" s="8"/>
      <c r="E33" s="8"/>
      <c r="F33" s="276"/>
      <c r="G33" s="277"/>
      <c r="H33" s="277"/>
      <c r="I33" s="276"/>
      <c r="J33" s="278"/>
      <c r="K33" s="279"/>
      <c r="L33" s="279"/>
      <c r="M33" s="279"/>
      <c r="N33" s="279"/>
      <c r="O33" s="279"/>
      <c r="P33" s="279"/>
      <c r="Q33" s="279"/>
      <c r="R33" s="279"/>
      <c r="S33" s="279"/>
      <c r="T33" s="279"/>
      <c r="U33" s="279"/>
      <c r="V33" s="266">
        <f t="shared" si="2"/>
        <v>0</v>
      </c>
      <c r="W33" s="267">
        <f t="shared" si="3"/>
        <v>0</v>
      </c>
      <c r="X33" s="279"/>
      <c r="Y33" s="261"/>
      <c r="Z33" s="261"/>
      <c r="AA33" s="261"/>
    </row>
    <row r="34" spans="1:24" ht="15">
      <c r="A34" s="6"/>
      <c r="B34" s="7"/>
      <c r="C34" s="8"/>
      <c r="D34" s="8"/>
      <c r="E34" s="8"/>
      <c r="F34" s="9"/>
      <c r="G34" s="10"/>
      <c r="H34" s="10"/>
      <c r="I34" s="9"/>
      <c r="J34" s="11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266">
        <f t="shared" si="2"/>
        <v>0</v>
      </c>
      <c r="W34" s="267">
        <f t="shared" si="3"/>
        <v>0</v>
      </c>
      <c r="X34" s="12"/>
    </row>
    <row r="35" spans="1:24" ht="15">
      <c r="A35" s="6"/>
      <c r="B35" s="732"/>
      <c r="C35" s="732"/>
      <c r="D35" s="732"/>
      <c r="E35" s="732"/>
      <c r="F35" s="732"/>
      <c r="G35" s="732"/>
      <c r="H35" s="732"/>
      <c r="I35" s="9"/>
      <c r="J35" s="11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ht="15">
      <c r="A36" s="6"/>
      <c r="B36" s="7"/>
      <c r="C36" s="8"/>
      <c r="F36" s="9"/>
      <c r="G36" s="10"/>
      <c r="H36" s="10"/>
      <c r="I36" s="9"/>
      <c r="J36" s="11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</sheetData>
  <sheetProtection/>
  <mergeCells count="11">
    <mergeCell ref="I5:J5"/>
    <mergeCell ref="D4:D5"/>
    <mergeCell ref="E4:E5"/>
    <mergeCell ref="B35:H35"/>
    <mergeCell ref="A1:AA2"/>
    <mergeCell ref="A4:A5"/>
    <mergeCell ref="B4:B5"/>
    <mergeCell ref="C4:C5"/>
    <mergeCell ref="F4:G4"/>
    <mergeCell ref="H4:H5"/>
    <mergeCell ref="I4:U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8"/>
  <sheetViews>
    <sheetView zoomScalePageLayoutView="0" workbookViewId="0" topLeftCell="A7">
      <selection activeCell="I19" sqref="I19"/>
    </sheetView>
  </sheetViews>
  <sheetFormatPr defaultColWidth="9.00390625" defaultRowHeight="12.75"/>
  <cols>
    <col min="1" max="1" width="4.00390625" style="0" customWidth="1"/>
    <col min="2" max="2" width="36.125" style="0" customWidth="1"/>
    <col min="4" max="4" width="19.75390625" style="0" customWidth="1"/>
    <col min="5" max="5" width="17.375" style="0" customWidth="1"/>
    <col min="6" max="6" width="9.25390625" style="0" hidden="1" customWidth="1"/>
    <col min="7" max="7" width="11.125" style="0" hidden="1" customWidth="1"/>
    <col min="8" max="8" width="10.125" style="0" customWidth="1"/>
    <col min="10" max="10" width="8.00390625" style="0" customWidth="1"/>
    <col min="11" max="11" width="9.00390625" style="0" customWidth="1"/>
    <col min="12" max="12" width="8.00390625" style="0" customWidth="1"/>
    <col min="13" max="13" width="8.25390625" style="0" customWidth="1"/>
    <col min="14" max="14" width="8.875" style="0" customWidth="1"/>
    <col min="15" max="16" width="7.875" style="0" customWidth="1"/>
    <col min="17" max="18" width="8.00390625" style="0" customWidth="1"/>
    <col min="20" max="20" width="8.625" style="0" customWidth="1"/>
    <col min="21" max="21" width="9.00390625" style="0" customWidth="1"/>
  </cols>
  <sheetData>
    <row r="1" spans="1:27" ht="13.5" customHeight="1">
      <c r="A1" s="739" t="s">
        <v>71</v>
      </c>
      <c r="B1" s="739"/>
      <c r="C1" s="739"/>
      <c r="D1" s="739"/>
      <c r="E1" s="739"/>
      <c r="F1" s="739"/>
      <c r="G1" s="739"/>
      <c r="H1" s="739"/>
      <c r="I1" s="739"/>
      <c r="J1" s="739"/>
      <c r="K1" s="739"/>
      <c r="L1" s="739"/>
      <c r="M1" s="739"/>
      <c r="N1" s="739"/>
      <c r="O1" s="739"/>
      <c r="P1" s="739"/>
      <c r="Q1" s="739"/>
      <c r="R1" s="739"/>
      <c r="S1" s="739"/>
      <c r="T1" s="739"/>
      <c r="U1" s="739"/>
      <c r="V1" s="739"/>
      <c r="W1" s="739"/>
      <c r="X1" s="739"/>
      <c r="Y1" s="739"/>
      <c r="Z1" s="739"/>
      <c r="AA1" s="739"/>
    </row>
    <row r="2" spans="1:27" ht="33" customHeight="1">
      <c r="A2" s="739"/>
      <c r="B2" s="739"/>
      <c r="C2" s="739"/>
      <c r="D2" s="739"/>
      <c r="E2" s="739"/>
      <c r="F2" s="739"/>
      <c r="G2" s="739"/>
      <c r="H2" s="739"/>
      <c r="I2" s="739"/>
      <c r="J2" s="739"/>
      <c r="K2" s="739"/>
      <c r="L2" s="739"/>
      <c r="M2" s="739"/>
      <c r="N2" s="739"/>
      <c r="O2" s="739"/>
      <c r="P2" s="739"/>
      <c r="Q2" s="739"/>
      <c r="R2" s="739"/>
      <c r="S2" s="739"/>
      <c r="T2" s="739"/>
      <c r="U2" s="739"/>
      <c r="V2" s="739"/>
      <c r="W2" s="739"/>
      <c r="X2" s="739"/>
      <c r="Y2" s="739"/>
      <c r="Z2" s="739"/>
      <c r="AA2" s="739"/>
    </row>
    <row r="3" spans="1:27" ht="14.25" customHeight="1" thickBot="1">
      <c r="A3" s="171"/>
      <c r="B3" s="171"/>
      <c r="C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519" t="s">
        <v>81</v>
      </c>
      <c r="S3" s="171"/>
      <c r="T3" s="520" t="s">
        <v>85</v>
      </c>
      <c r="U3" s="171"/>
      <c r="V3" s="171"/>
      <c r="W3" s="280">
        <f>W8-V8</f>
        <v>-269.85</v>
      </c>
      <c r="X3" s="171"/>
      <c r="Y3" s="171"/>
      <c r="Z3" s="171"/>
      <c r="AA3" s="171"/>
    </row>
    <row r="4" spans="1:27" ht="31.5" customHeight="1" thickBot="1">
      <c r="A4" s="740" t="s">
        <v>6</v>
      </c>
      <c r="B4" s="744" t="s">
        <v>7</v>
      </c>
      <c r="C4" s="735" t="s">
        <v>8</v>
      </c>
      <c r="D4" s="730" t="s">
        <v>83</v>
      </c>
      <c r="E4" s="730" t="s">
        <v>84</v>
      </c>
      <c r="F4" s="740" t="s">
        <v>50</v>
      </c>
      <c r="G4" s="740"/>
      <c r="H4" s="730" t="s">
        <v>82</v>
      </c>
      <c r="I4" s="741" t="s">
        <v>9</v>
      </c>
      <c r="J4" s="741"/>
      <c r="K4" s="741"/>
      <c r="L4" s="741"/>
      <c r="M4" s="741"/>
      <c r="N4" s="741"/>
      <c r="O4" s="741"/>
      <c r="P4" s="741"/>
      <c r="Q4" s="741"/>
      <c r="R4" s="741"/>
      <c r="S4" s="741"/>
      <c r="T4" s="741"/>
      <c r="U4" s="741"/>
      <c r="V4" s="262"/>
      <c r="W4" s="262"/>
      <c r="X4" s="262"/>
      <c r="Y4" s="171"/>
      <c r="Z4" s="171"/>
      <c r="AA4" s="171"/>
    </row>
    <row r="5" spans="1:27" ht="23.25" customHeight="1" thickBot="1">
      <c r="A5" s="740"/>
      <c r="B5" s="744"/>
      <c r="C5" s="735"/>
      <c r="D5" s="731"/>
      <c r="E5" s="731"/>
      <c r="F5" s="220" t="s">
        <v>49</v>
      </c>
      <c r="G5" s="374" t="s">
        <v>10</v>
      </c>
      <c r="H5" s="731"/>
      <c r="I5" s="742" t="s">
        <v>4</v>
      </c>
      <c r="J5" s="743"/>
      <c r="K5" s="176" t="s">
        <v>3</v>
      </c>
      <c r="L5" s="374" t="s">
        <v>0</v>
      </c>
      <c r="M5" s="220" t="s">
        <v>1</v>
      </c>
      <c r="N5" s="374" t="s">
        <v>5</v>
      </c>
      <c r="O5" s="220" t="s">
        <v>11</v>
      </c>
      <c r="P5" s="374" t="s">
        <v>12</v>
      </c>
      <c r="Q5" s="220" t="s">
        <v>13</v>
      </c>
      <c r="R5" s="392" t="s">
        <v>14</v>
      </c>
      <c r="S5" s="220" t="s">
        <v>15</v>
      </c>
      <c r="T5" s="374" t="s">
        <v>16</v>
      </c>
      <c r="U5" s="374" t="s">
        <v>17</v>
      </c>
      <c r="V5" s="174"/>
      <c r="W5" s="174"/>
      <c r="X5" s="174"/>
      <c r="Y5" s="175"/>
      <c r="Z5" s="171"/>
      <c r="AA5" s="171"/>
    </row>
    <row r="6" spans="1:27" ht="15.75" thickBot="1">
      <c r="A6" s="220"/>
      <c r="B6" s="220"/>
      <c r="C6" s="220"/>
      <c r="D6" s="524"/>
      <c r="E6" s="19"/>
      <c r="F6" s="414"/>
      <c r="G6" s="391"/>
      <c r="H6" s="391"/>
      <c r="I6" s="415" t="s">
        <v>49</v>
      </c>
      <c r="J6" s="474" t="s">
        <v>10</v>
      </c>
      <c r="K6" s="438"/>
      <c r="L6" s="416"/>
      <c r="M6" s="438"/>
      <c r="N6" s="416"/>
      <c r="O6" s="438"/>
      <c r="P6" s="416"/>
      <c r="Q6" s="438"/>
      <c r="R6" s="416"/>
      <c r="S6" s="438"/>
      <c r="T6" s="438"/>
      <c r="U6" s="416"/>
      <c r="V6" s="174"/>
      <c r="W6" s="174"/>
      <c r="X6" s="174"/>
      <c r="Y6" s="175"/>
      <c r="Z6" s="171"/>
      <c r="AA6" s="171"/>
    </row>
    <row r="7" spans="1:27" ht="21.75" customHeight="1" thickBot="1">
      <c r="A7" s="233">
        <v>1</v>
      </c>
      <c r="B7" s="178" t="s">
        <v>62</v>
      </c>
      <c r="C7" s="233" t="s">
        <v>19</v>
      </c>
      <c r="D7" s="659">
        <v>843.78</v>
      </c>
      <c r="E7" s="660">
        <v>351.4</v>
      </c>
      <c r="F7" s="332">
        <f>F8+F9+F10</f>
        <v>657.964</v>
      </c>
      <c r="G7" s="332">
        <f aca="true" t="shared" si="0" ref="G7:U7">G8+G9+G10</f>
        <v>36.304</v>
      </c>
      <c r="H7" s="332">
        <f>F7-G7</f>
        <v>621.6600000000001</v>
      </c>
      <c r="I7" s="332">
        <f t="shared" si="0"/>
        <v>0</v>
      </c>
      <c r="J7" s="478">
        <v>13.7</v>
      </c>
      <c r="K7" s="332">
        <f t="shared" si="0"/>
        <v>0</v>
      </c>
      <c r="L7" s="332">
        <f t="shared" si="0"/>
        <v>20.53</v>
      </c>
      <c r="M7" s="332">
        <f t="shared" si="0"/>
        <v>56.38</v>
      </c>
      <c r="N7" s="332">
        <f t="shared" si="0"/>
        <v>72.24</v>
      </c>
      <c r="O7" s="332">
        <f t="shared" si="0"/>
        <v>72.24</v>
      </c>
      <c r="P7" s="332">
        <f t="shared" si="0"/>
        <v>102.74</v>
      </c>
      <c r="Q7" s="332">
        <f t="shared" si="0"/>
        <v>102.74</v>
      </c>
      <c r="R7" s="352">
        <f t="shared" si="0"/>
        <v>109.13</v>
      </c>
      <c r="S7" s="439">
        <f t="shared" si="0"/>
        <v>122</v>
      </c>
      <c r="T7" s="439">
        <f t="shared" si="0"/>
        <v>0</v>
      </c>
      <c r="U7" s="439">
        <f t="shared" si="0"/>
        <v>0</v>
      </c>
      <c r="V7" s="181">
        <f>SUM(I7:U7)</f>
        <v>671.7</v>
      </c>
      <c r="W7" s="266">
        <f>V7-H7</f>
        <v>50.039999999999964</v>
      </c>
      <c r="X7" s="182"/>
      <c r="Y7" s="175"/>
      <c r="Z7" s="171"/>
      <c r="AA7" s="171"/>
    </row>
    <row r="8" spans="1:27" ht="21" customHeight="1" thickBot="1">
      <c r="A8" s="220"/>
      <c r="B8" s="247" t="s">
        <v>63</v>
      </c>
      <c r="C8" s="220" t="s">
        <v>19</v>
      </c>
      <c r="D8" s="661">
        <v>366.31</v>
      </c>
      <c r="E8" s="662">
        <v>96.41</v>
      </c>
      <c r="F8" s="380">
        <f>247.054+49.6</f>
        <v>296.654</v>
      </c>
      <c r="G8" s="380">
        <v>26.804</v>
      </c>
      <c r="H8" s="380">
        <f>F8-G8</f>
        <v>269.85</v>
      </c>
      <c r="I8" s="381"/>
      <c r="J8" s="474">
        <v>5.722</v>
      </c>
      <c r="K8" s="381"/>
      <c r="L8" s="379">
        <f>10.55-L10</f>
        <v>8.530000000000001</v>
      </c>
      <c r="M8" s="379">
        <f>33.1-M10</f>
        <v>24.020000000000003</v>
      </c>
      <c r="N8" s="380">
        <f>45.63-N10</f>
        <v>33.53</v>
      </c>
      <c r="O8" s="380">
        <f>45.63-O10</f>
        <v>33.53</v>
      </c>
      <c r="P8" s="379">
        <f>56.33-P10</f>
        <v>38.34</v>
      </c>
      <c r="Q8" s="379">
        <f>56.33-Q10</f>
        <v>38.34</v>
      </c>
      <c r="R8" s="381">
        <f>56.22-R10</f>
        <v>33.36</v>
      </c>
      <c r="S8" s="381">
        <f>42.8-S10</f>
        <v>19.259999999999998</v>
      </c>
      <c r="T8" s="381"/>
      <c r="U8" s="381"/>
      <c r="V8" s="181">
        <f aca="true" t="shared" si="1" ref="V8:V32">SUM(I8:U8)</f>
        <v>234.632</v>
      </c>
      <c r="W8" s="266">
        <f aca="true" t="shared" si="2" ref="W8:W32">V8-H8</f>
        <v>-35.21800000000002</v>
      </c>
      <c r="X8" s="182"/>
      <c r="Y8" s="175"/>
      <c r="Z8" s="171"/>
      <c r="AA8" s="171"/>
    </row>
    <row r="9" spans="1:27" ht="24" customHeight="1" thickBot="1">
      <c r="A9" s="220"/>
      <c r="B9" s="247" t="s">
        <v>64</v>
      </c>
      <c r="C9" s="220" t="s">
        <v>19</v>
      </c>
      <c r="D9" s="663">
        <v>413.81</v>
      </c>
      <c r="E9" s="664">
        <v>108.91</v>
      </c>
      <c r="F9" s="380">
        <v>306.931</v>
      </c>
      <c r="G9" s="380">
        <v>2</v>
      </c>
      <c r="H9" s="380">
        <f>F9-G9</f>
        <v>304.931</v>
      </c>
      <c r="I9" s="380"/>
      <c r="J9" s="479">
        <v>8</v>
      </c>
      <c r="K9" s="380"/>
      <c r="L9" s="380">
        <v>9.98</v>
      </c>
      <c r="M9" s="380">
        <v>23.28</v>
      </c>
      <c r="N9" s="380">
        <v>26.61</v>
      </c>
      <c r="O9" s="380">
        <v>26.61</v>
      </c>
      <c r="P9" s="380">
        <v>46.41</v>
      </c>
      <c r="Q9" s="380">
        <v>46.41</v>
      </c>
      <c r="R9" s="380">
        <v>52.91</v>
      </c>
      <c r="S9" s="381">
        <v>79.2</v>
      </c>
      <c r="T9" s="381"/>
      <c r="U9" s="381"/>
      <c r="V9" s="181">
        <f t="shared" si="1"/>
        <v>319.40999999999997</v>
      </c>
      <c r="W9" s="266">
        <f t="shared" si="2"/>
        <v>14.478999999999985</v>
      </c>
      <c r="X9" s="182"/>
      <c r="Y9" s="175"/>
      <c r="Z9" s="171"/>
      <c r="AA9" s="171"/>
    </row>
    <row r="10" spans="1:27" ht="24" customHeight="1" thickBot="1">
      <c r="A10" s="220"/>
      <c r="B10" s="247" t="s">
        <v>65</v>
      </c>
      <c r="C10" s="220" t="s">
        <v>19</v>
      </c>
      <c r="D10" s="665">
        <v>63.53</v>
      </c>
      <c r="E10" s="666">
        <v>16.63</v>
      </c>
      <c r="F10" s="380">
        <v>54.379</v>
      </c>
      <c r="G10" s="380">
        <v>7.5</v>
      </c>
      <c r="H10" s="380">
        <f>F10-G10</f>
        <v>46.879</v>
      </c>
      <c r="I10" s="379"/>
      <c r="J10" s="480"/>
      <c r="K10" s="379"/>
      <c r="L10" s="379">
        <v>2.02</v>
      </c>
      <c r="M10" s="379">
        <v>9.08</v>
      </c>
      <c r="N10" s="379">
        <v>12.1</v>
      </c>
      <c r="O10" s="379">
        <v>12.1</v>
      </c>
      <c r="P10" s="379">
        <v>17.99</v>
      </c>
      <c r="Q10" s="381">
        <v>17.99</v>
      </c>
      <c r="R10" s="381">
        <v>22.86</v>
      </c>
      <c r="S10" s="381">
        <v>23.54</v>
      </c>
      <c r="T10" s="381"/>
      <c r="U10" s="381"/>
      <c r="V10" s="181">
        <f t="shared" si="1"/>
        <v>117.67999999999998</v>
      </c>
      <c r="W10" s="266">
        <f t="shared" si="2"/>
        <v>70.80099999999999</v>
      </c>
      <c r="X10" s="182"/>
      <c r="Y10" s="175"/>
      <c r="Z10" s="171"/>
      <c r="AA10" s="171"/>
    </row>
    <row r="11" spans="1:27" ht="22.5" customHeight="1" thickBot="1">
      <c r="A11" s="220">
        <v>2</v>
      </c>
      <c r="B11" s="413" t="s">
        <v>23</v>
      </c>
      <c r="C11" s="220" t="s">
        <v>19</v>
      </c>
      <c r="D11" s="663">
        <v>5</v>
      </c>
      <c r="E11" s="664">
        <v>0</v>
      </c>
      <c r="F11" s="388"/>
      <c r="G11" s="388"/>
      <c r="H11" s="388"/>
      <c r="I11" s="383"/>
      <c r="J11" s="475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3"/>
      <c r="V11" s="181">
        <f t="shared" si="1"/>
        <v>0</v>
      </c>
      <c r="W11" s="266">
        <f t="shared" si="2"/>
        <v>0</v>
      </c>
      <c r="X11" s="182"/>
      <c r="Y11" s="175"/>
      <c r="Z11" s="171"/>
      <c r="AA11" s="171"/>
    </row>
    <row r="12" spans="1:27" ht="22.5" customHeight="1" thickBot="1">
      <c r="A12" s="233">
        <v>3</v>
      </c>
      <c r="B12" s="178" t="s">
        <v>66</v>
      </c>
      <c r="C12" s="233" t="s">
        <v>19</v>
      </c>
      <c r="D12" s="665">
        <v>429.44</v>
      </c>
      <c r="E12" s="666">
        <v>115.14</v>
      </c>
      <c r="F12" s="332">
        <f>600-51-152.99</f>
        <v>396.01</v>
      </c>
      <c r="G12" s="440">
        <v>81.76</v>
      </c>
      <c r="H12" s="332">
        <f>F12-G12</f>
        <v>314.25</v>
      </c>
      <c r="I12" s="387"/>
      <c r="J12" s="481"/>
      <c r="K12" s="387"/>
      <c r="L12" s="387">
        <v>14</v>
      </c>
      <c r="M12" s="387">
        <v>14</v>
      </c>
      <c r="N12" s="387">
        <v>4</v>
      </c>
      <c r="O12" s="387">
        <v>6</v>
      </c>
      <c r="P12" s="387">
        <v>5.4</v>
      </c>
      <c r="Q12" s="387">
        <v>32.21</v>
      </c>
      <c r="R12" s="387">
        <v>16.1</v>
      </c>
      <c r="S12" s="387"/>
      <c r="T12" s="386"/>
      <c r="U12" s="386"/>
      <c r="V12" s="181">
        <f t="shared" si="1"/>
        <v>91.71000000000001</v>
      </c>
      <c r="W12" s="266">
        <f t="shared" si="2"/>
        <v>-222.54</v>
      </c>
      <c r="X12" s="182"/>
      <c r="Y12" s="175"/>
      <c r="Z12" s="171"/>
      <c r="AA12" s="171"/>
    </row>
    <row r="13" spans="1:27" ht="21.75" customHeight="1" thickBot="1">
      <c r="A13" s="241">
        <f>1+A12</f>
        <v>4</v>
      </c>
      <c r="B13" s="188" t="s">
        <v>25</v>
      </c>
      <c r="C13" s="241" t="s">
        <v>19</v>
      </c>
      <c r="D13" s="667">
        <v>13.7</v>
      </c>
      <c r="E13" s="668">
        <v>0.3</v>
      </c>
      <c r="F13" s="388">
        <v>13.6906</v>
      </c>
      <c r="G13" s="388">
        <v>0.25</v>
      </c>
      <c r="H13" s="390">
        <f>F13-G13</f>
        <v>13.4406</v>
      </c>
      <c r="I13" s="383">
        <v>0.7</v>
      </c>
      <c r="J13" s="477"/>
      <c r="K13" s="343">
        <v>0.7</v>
      </c>
      <c r="L13" s="343">
        <v>0.7</v>
      </c>
      <c r="M13" s="343">
        <v>0.7</v>
      </c>
      <c r="N13" s="343">
        <v>0.7</v>
      </c>
      <c r="O13" s="343">
        <v>1.5</v>
      </c>
      <c r="P13" s="343">
        <v>2</v>
      </c>
      <c r="Q13" s="343">
        <v>2</v>
      </c>
      <c r="R13" s="343">
        <v>2</v>
      </c>
      <c r="S13" s="343">
        <v>2.441</v>
      </c>
      <c r="T13" s="383"/>
      <c r="U13" s="383"/>
      <c r="V13" s="266">
        <f t="shared" si="1"/>
        <v>13.440999999999999</v>
      </c>
      <c r="W13" s="266">
        <f t="shared" si="2"/>
        <v>0.00039999999999906777</v>
      </c>
      <c r="X13" s="182"/>
      <c r="Y13" s="175"/>
      <c r="Z13" s="171"/>
      <c r="AA13" s="171"/>
    </row>
    <row r="14" spans="1:27" ht="21.75" customHeight="1" thickBot="1">
      <c r="A14" s="241">
        <f aca="true" t="shared" si="3" ref="A14:A32">1+A13</f>
        <v>5</v>
      </c>
      <c r="B14" s="178" t="s">
        <v>67</v>
      </c>
      <c r="C14" s="233" t="s">
        <v>19</v>
      </c>
      <c r="D14" s="665">
        <v>21.38</v>
      </c>
      <c r="E14" s="666">
        <v>4.38</v>
      </c>
      <c r="F14" s="440">
        <v>17.76</v>
      </c>
      <c r="G14" s="440">
        <v>0.75</v>
      </c>
      <c r="H14" s="332">
        <f>F14-G14</f>
        <v>17.01</v>
      </c>
      <c r="I14" s="386"/>
      <c r="J14" s="476"/>
      <c r="K14" s="386"/>
      <c r="L14" s="389">
        <v>0.52</v>
      </c>
      <c r="M14" s="389">
        <v>1.6</v>
      </c>
      <c r="N14" s="389">
        <v>2.21</v>
      </c>
      <c r="O14" s="389">
        <v>2.21</v>
      </c>
      <c r="P14" s="389">
        <v>2.85</v>
      </c>
      <c r="Q14" s="389">
        <v>2.85</v>
      </c>
      <c r="R14" s="389">
        <v>2.94</v>
      </c>
      <c r="S14" s="389">
        <v>2.55</v>
      </c>
      <c r="T14" s="386"/>
      <c r="U14" s="386"/>
      <c r="V14" s="183">
        <f t="shared" si="1"/>
        <v>17.73</v>
      </c>
      <c r="W14" s="266">
        <f t="shared" si="2"/>
        <v>0.7199999999999989</v>
      </c>
      <c r="X14" s="182"/>
      <c r="Y14" s="175"/>
      <c r="Z14" s="171"/>
      <c r="AA14" s="171"/>
    </row>
    <row r="15" spans="1:27" ht="22.5" customHeight="1" thickBot="1">
      <c r="A15" s="241">
        <f t="shared" si="3"/>
        <v>6</v>
      </c>
      <c r="B15" s="188" t="s">
        <v>27</v>
      </c>
      <c r="C15" s="241" t="s">
        <v>19</v>
      </c>
      <c r="D15" s="667">
        <v>3.21</v>
      </c>
      <c r="E15" s="668">
        <v>1.01</v>
      </c>
      <c r="F15" s="388">
        <v>2.163</v>
      </c>
      <c r="G15" s="383"/>
      <c r="H15" s="441">
        <f>F15-G15</f>
        <v>2.163</v>
      </c>
      <c r="I15" s="383"/>
      <c r="J15" s="475"/>
      <c r="K15" s="383"/>
      <c r="L15" s="383">
        <v>0.7</v>
      </c>
      <c r="M15" s="383">
        <v>0.7</v>
      </c>
      <c r="N15" s="383">
        <v>0.763</v>
      </c>
      <c r="O15" s="383"/>
      <c r="P15" s="383"/>
      <c r="Q15" s="383"/>
      <c r="R15" s="383"/>
      <c r="S15" s="383"/>
      <c r="T15" s="383"/>
      <c r="U15" s="383"/>
      <c r="V15" s="181">
        <f t="shared" si="1"/>
        <v>2.163</v>
      </c>
      <c r="W15" s="266">
        <f t="shared" si="2"/>
        <v>0</v>
      </c>
      <c r="X15" s="182"/>
      <c r="Y15" s="175"/>
      <c r="Z15" s="171"/>
      <c r="AA15" s="171"/>
    </row>
    <row r="16" spans="1:27" ht="20.25" customHeight="1" thickBot="1">
      <c r="A16" s="241">
        <f t="shared" si="3"/>
        <v>7</v>
      </c>
      <c r="B16" s="178" t="s">
        <v>28</v>
      </c>
      <c r="C16" s="233" t="s">
        <v>29</v>
      </c>
      <c r="D16" s="665">
        <v>1</v>
      </c>
      <c r="E16" s="666">
        <v>1</v>
      </c>
      <c r="F16" s="440"/>
      <c r="G16" s="442"/>
      <c r="H16" s="442"/>
      <c r="I16" s="386"/>
      <c r="J16" s="476"/>
      <c r="K16" s="387"/>
      <c r="L16" s="386"/>
      <c r="M16" s="386"/>
      <c r="N16" s="386"/>
      <c r="O16" s="386"/>
      <c r="P16" s="386"/>
      <c r="Q16" s="386"/>
      <c r="R16" s="386"/>
      <c r="S16" s="386"/>
      <c r="T16" s="386"/>
      <c r="U16" s="386"/>
      <c r="V16" s="181">
        <f t="shared" si="1"/>
        <v>0</v>
      </c>
      <c r="W16" s="266">
        <f t="shared" si="2"/>
        <v>0</v>
      </c>
      <c r="X16" s="182"/>
      <c r="Y16" s="175"/>
      <c r="Z16" s="171"/>
      <c r="AA16" s="171"/>
    </row>
    <row r="17" spans="1:27" ht="21.75" customHeight="1" thickBot="1">
      <c r="A17" s="241">
        <f t="shared" si="3"/>
        <v>8</v>
      </c>
      <c r="B17" s="188" t="s">
        <v>30</v>
      </c>
      <c r="C17" s="241" t="s">
        <v>31</v>
      </c>
      <c r="D17" s="667">
        <v>507.26</v>
      </c>
      <c r="E17" s="668">
        <v>183.76</v>
      </c>
      <c r="F17" s="388">
        <v>323.473</v>
      </c>
      <c r="G17" s="383"/>
      <c r="H17" s="441">
        <f>F17-G17</f>
        <v>323.473</v>
      </c>
      <c r="I17" s="383">
        <v>110</v>
      </c>
      <c r="J17" s="482"/>
      <c r="K17" s="388"/>
      <c r="L17" s="388">
        <v>110</v>
      </c>
      <c r="M17" s="343"/>
      <c r="N17" s="343">
        <f>103.5-0.027</f>
        <v>103.473</v>
      </c>
      <c r="O17" s="343"/>
      <c r="P17" s="383"/>
      <c r="Q17" s="383"/>
      <c r="R17" s="383"/>
      <c r="S17" s="383"/>
      <c r="T17" s="383"/>
      <c r="U17" s="383"/>
      <c r="V17" s="181">
        <f t="shared" si="1"/>
        <v>323.473</v>
      </c>
      <c r="W17" s="266">
        <f t="shared" si="2"/>
        <v>0</v>
      </c>
      <c r="X17" s="182"/>
      <c r="Y17" s="290">
        <f>V17-W17</f>
        <v>323.473</v>
      </c>
      <c r="Z17" s="171"/>
      <c r="AA17" s="171"/>
    </row>
    <row r="18" spans="1:27" ht="21.75" customHeight="1" thickBot="1">
      <c r="A18" s="241">
        <f t="shared" si="3"/>
        <v>9</v>
      </c>
      <c r="B18" s="188" t="s">
        <v>75</v>
      </c>
      <c r="C18" s="241" t="s">
        <v>31</v>
      </c>
      <c r="D18" s="665"/>
      <c r="E18" s="666">
        <v>0</v>
      </c>
      <c r="F18" s="388"/>
      <c r="G18" s="383"/>
      <c r="H18" s="441"/>
      <c r="I18" s="383"/>
      <c r="J18" s="482"/>
      <c r="K18" s="388"/>
      <c r="L18" s="388"/>
      <c r="M18" s="343"/>
      <c r="N18" s="343"/>
      <c r="O18" s="343"/>
      <c r="P18" s="383"/>
      <c r="Q18" s="383"/>
      <c r="R18" s="383"/>
      <c r="S18" s="383"/>
      <c r="T18" s="383"/>
      <c r="U18" s="383"/>
      <c r="V18" s="181"/>
      <c r="W18" s="266"/>
      <c r="X18" s="182"/>
      <c r="Y18" s="290"/>
      <c r="Z18" s="171"/>
      <c r="AA18" s="171"/>
    </row>
    <row r="19" spans="1:27" ht="21" customHeight="1" thickBot="1">
      <c r="A19" s="241">
        <f t="shared" si="3"/>
        <v>10</v>
      </c>
      <c r="B19" s="178" t="s">
        <v>32</v>
      </c>
      <c r="C19" s="233" t="s">
        <v>2</v>
      </c>
      <c r="D19" s="669">
        <v>2596</v>
      </c>
      <c r="E19" s="670">
        <v>0</v>
      </c>
      <c r="F19" s="442">
        <v>2781</v>
      </c>
      <c r="G19" s="442">
        <v>2781</v>
      </c>
      <c r="H19" s="352"/>
      <c r="I19" s="386"/>
      <c r="J19" s="476"/>
      <c r="K19" s="386"/>
      <c r="L19" s="386"/>
      <c r="M19" s="386"/>
      <c r="N19" s="386"/>
      <c r="O19" s="386"/>
      <c r="P19" s="386"/>
      <c r="Q19" s="386"/>
      <c r="R19" s="386"/>
      <c r="S19" s="386"/>
      <c r="T19" s="386"/>
      <c r="U19" s="386"/>
      <c r="V19" s="181">
        <f t="shared" si="1"/>
        <v>0</v>
      </c>
      <c r="W19" s="266">
        <f t="shared" si="2"/>
        <v>0</v>
      </c>
      <c r="X19" s="182"/>
      <c r="Y19" s="175"/>
      <c r="Z19" s="171"/>
      <c r="AA19" s="171"/>
    </row>
    <row r="20" spans="1:27" ht="19.5" customHeight="1" thickBot="1">
      <c r="A20" s="241">
        <f t="shared" si="3"/>
        <v>11</v>
      </c>
      <c r="B20" s="188" t="s">
        <v>33</v>
      </c>
      <c r="C20" s="241" t="s">
        <v>19</v>
      </c>
      <c r="D20" s="665"/>
      <c r="E20" s="666">
        <v>0</v>
      </c>
      <c r="F20" s="383"/>
      <c r="G20" s="383"/>
      <c r="H20" s="443"/>
      <c r="I20" s="383"/>
      <c r="J20" s="475"/>
      <c r="K20" s="383"/>
      <c r="L20" s="383"/>
      <c r="M20" s="383"/>
      <c r="N20" s="383"/>
      <c r="O20" s="383"/>
      <c r="P20" s="383"/>
      <c r="Q20" s="383"/>
      <c r="R20" s="383"/>
      <c r="S20" s="383"/>
      <c r="T20" s="383"/>
      <c r="U20" s="383"/>
      <c r="V20" s="181">
        <f t="shared" si="1"/>
        <v>0</v>
      </c>
      <c r="W20" s="266">
        <f t="shared" si="2"/>
        <v>0</v>
      </c>
      <c r="X20" s="182"/>
      <c r="Y20" s="175"/>
      <c r="Z20" s="171"/>
      <c r="AA20" s="171"/>
    </row>
    <row r="21" spans="1:27" ht="20.25" customHeight="1" thickBot="1">
      <c r="A21" s="241">
        <f t="shared" si="3"/>
        <v>12</v>
      </c>
      <c r="B21" s="178" t="s">
        <v>34</v>
      </c>
      <c r="C21" s="233" t="s">
        <v>35</v>
      </c>
      <c r="D21" s="663"/>
      <c r="E21" s="664">
        <v>0</v>
      </c>
      <c r="F21" s="386">
        <v>5074</v>
      </c>
      <c r="G21" s="386">
        <v>5074</v>
      </c>
      <c r="H21" s="352"/>
      <c r="I21" s="386"/>
      <c r="J21" s="47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181">
        <f t="shared" si="1"/>
        <v>0</v>
      </c>
      <c r="W21" s="266">
        <f t="shared" si="2"/>
        <v>0</v>
      </c>
      <c r="X21" s="182"/>
      <c r="Y21" s="175"/>
      <c r="Z21" s="171"/>
      <c r="AA21" s="171"/>
    </row>
    <row r="22" spans="1:27" ht="24" customHeight="1" thickBot="1">
      <c r="A22" s="241">
        <f t="shared" si="3"/>
        <v>13</v>
      </c>
      <c r="B22" s="247" t="s">
        <v>36</v>
      </c>
      <c r="C22" s="220" t="s">
        <v>2</v>
      </c>
      <c r="D22" s="665">
        <v>421</v>
      </c>
      <c r="E22" s="666">
        <v>0</v>
      </c>
      <c r="F22" s="383">
        <v>61</v>
      </c>
      <c r="G22" s="383">
        <v>61</v>
      </c>
      <c r="H22" s="444"/>
      <c r="I22" s="383"/>
      <c r="J22" s="475"/>
      <c r="K22" s="383"/>
      <c r="L22" s="383"/>
      <c r="M22" s="383"/>
      <c r="N22" s="383"/>
      <c r="O22" s="383"/>
      <c r="P22" s="383"/>
      <c r="Q22" s="383"/>
      <c r="R22" s="383"/>
      <c r="S22" s="383"/>
      <c r="T22" s="383"/>
      <c r="U22" s="383"/>
      <c r="V22" s="181">
        <f t="shared" si="1"/>
        <v>0</v>
      </c>
      <c r="W22" s="266">
        <f t="shared" si="2"/>
        <v>0</v>
      </c>
      <c r="X22" s="182"/>
      <c r="Y22" s="201"/>
      <c r="Z22" s="171"/>
      <c r="AA22" s="171"/>
    </row>
    <row r="23" spans="1:27" ht="20.25" customHeight="1" thickBot="1">
      <c r="A23" s="241">
        <f t="shared" si="3"/>
        <v>14</v>
      </c>
      <c r="B23" s="178" t="s">
        <v>37</v>
      </c>
      <c r="C23" s="233" t="s">
        <v>2</v>
      </c>
      <c r="D23" s="663">
        <v>52</v>
      </c>
      <c r="E23" s="664">
        <v>8</v>
      </c>
      <c r="F23" s="386">
        <v>44</v>
      </c>
      <c r="G23" s="386"/>
      <c r="H23" s="332">
        <f>F23-G23</f>
        <v>44</v>
      </c>
      <c r="I23" s="386"/>
      <c r="J23" s="476"/>
      <c r="K23" s="386"/>
      <c r="L23" s="386">
        <v>44</v>
      </c>
      <c r="M23" s="386"/>
      <c r="N23" s="386"/>
      <c r="O23" s="386"/>
      <c r="P23" s="386"/>
      <c r="Q23" s="386"/>
      <c r="R23" s="386"/>
      <c r="S23" s="386"/>
      <c r="T23" s="386"/>
      <c r="U23" s="386"/>
      <c r="V23" s="181">
        <f t="shared" si="1"/>
        <v>44</v>
      </c>
      <c r="W23" s="266">
        <f t="shared" si="2"/>
        <v>0</v>
      </c>
      <c r="X23" s="182"/>
      <c r="Y23" s="175"/>
      <c r="Z23" s="171"/>
      <c r="AA23" s="171"/>
    </row>
    <row r="24" spans="1:27" ht="24" customHeight="1" thickBot="1">
      <c r="A24" s="241">
        <f t="shared" si="3"/>
        <v>15</v>
      </c>
      <c r="B24" s="247" t="s">
        <v>38</v>
      </c>
      <c r="C24" s="220" t="s">
        <v>35</v>
      </c>
      <c r="D24" s="665">
        <v>5074</v>
      </c>
      <c r="E24" s="666">
        <v>5074</v>
      </c>
      <c r="F24" s="383"/>
      <c r="G24" s="383"/>
      <c r="H24" s="383"/>
      <c r="I24" s="383"/>
      <c r="J24" s="475"/>
      <c r="K24" s="383"/>
      <c r="L24" s="383"/>
      <c r="M24" s="383"/>
      <c r="N24" s="383"/>
      <c r="O24" s="383"/>
      <c r="P24" s="383"/>
      <c r="Q24" s="383"/>
      <c r="R24" s="383"/>
      <c r="S24" s="383"/>
      <c r="T24" s="383"/>
      <c r="U24" s="383"/>
      <c r="V24" s="181">
        <f t="shared" si="1"/>
        <v>0</v>
      </c>
      <c r="W24" s="266">
        <f t="shared" si="2"/>
        <v>0</v>
      </c>
      <c r="X24" s="182"/>
      <c r="Y24" s="175"/>
      <c r="Z24" s="171"/>
      <c r="AA24" s="171"/>
    </row>
    <row r="25" spans="1:27" ht="26.25" thickBot="1">
      <c r="A25" s="241">
        <f t="shared" si="3"/>
        <v>16</v>
      </c>
      <c r="B25" s="178" t="s">
        <v>39</v>
      </c>
      <c r="C25" s="233" t="s">
        <v>2</v>
      </c>
      <c r="D25" s="671"/>
      <c r="E25" s="672">
        <v>0</v>
      </c>
      <c r="F25" s="442">
        <v>61</v>
      </c>
      <c r="G25" s="442">
        <v>61</v>
      </c>
      <c r="H25" s="352">
        <f>F25-G25</f>
        <v>0</v>
      </c>
      <c r="I25" s="386"/>
      <c r="J25" s="476"/>
      <c r="K25" s="386"/>
      <c r="L25" s="386"/>
      <c r="M25" s="386"/>
      <c r="N25" s="386"/>
      <c r="O25" s="386"/>
      <c r="P25" s="386"/>
      <c r="Q25" s="386"/>
      <c r="R25" s="386"/>
      <c r="S25" s="386"/>
      <c r="T25" s="386"/>
      <c r="U25" s="386"/>
      <c r="V25" s="181">
        <f t="shared" si="1"/>
        <v>0</v>
      </c>
      <c r="W25" s="266">
        <f t="shared" si="2"/>
        <v>0</v>
      </c>
      <c r="X25" s="182"/>
      <c r="Y25" s="175"/>
      <c r="Z25" s="171"/>
      <c r="AA25" s="171"/>
    </row>
    <row r="26" spans="1:27" ht="22.5" customHeight="1" thickBot="1">
      <c r="A26" s="241">
        <f t="shared" si="3"/>
        <v>17</v>
      </c>
      <c r="B26" s="247" t="s">
        <v>40</v>
      </c>
      <c r="C26" s="220" t="s">
        <v>41</v>
      </c>
      <c r="D26" s="663"/>
      <c r="E26" s="664">
        <v>0</v>
      </c>
      <c r="F26" s="388">
        <f>165.202*0.61+30.972*0.158+10.533*0.472+1.174*0.315+0.0061*663.2</f>
        <v>115.05370199999999</v>
      </c>
      <c r="G26" s="383"/>
      <c r="H26" s="441">
        <f>F26-G26</f>
        <v>115.05370199999999</v>
      </c>
      <c r="I26" s="383"/>
      <c r="J26" s="475"/>
      <c r="K26" s="383"/>
      <c r="L26" s="383"/>
      <c r="M26" s="383"/>
      <c r="N26" s="383"/>
      <c r="O26" s="383"/>
      <c r="P26" s="383"/>
      <c r="Q26" s="383">
        <f>F26</f>
        <v>115.05370199999999</v>
      </c>
      <c r="R26" s="383"/>
      <c r="S26" s="383"/>
      <c r="T26" s="383"/>
      <c r="U26" s="383"/>
      <c r="V26" s="181">
        <f t="shared" si="1"/>
        <v>115.05370199999999</v>
      </c>
      <c r="W26" s="266">
        <f t="shared" si="2"/>
        <v>0</v>
      </c>
      <c r="X26" s="182"/>
      <c r="Y26" s="175"/>
      <c r="Z26" s="171"/>
      <c r="AA26" s="171"/>
    </row>
    <row r="27" spans="1:27" ht="23.25" customHeight="1" thickBot="1">
      <c r="A27" s="241">
        <f t="shared" si="3"/>
        <v>18</v>
      </c>
      <c r="B27" s="247" t="s">
        <v>42</v>
      </c>
      <c r="C27" s="220" t="s">
        <v>41</v>
      </c>
      <c r="D27" s="665"/>
      <c r="E27" s="666">
        <v>0</v>
      </c>
      <c r="F27" s="383">
        <v>0</v>
      </c>
      <c r="G27" s="383"/>
      <c r="H27" s="383"/>
      <c r="I27" s="383"/>
      <c r="J27" s="475"/>
      <c r="K27" s="383"/>
      <c r="L27" s="383"/>
      <c r="M27" s="383"/>
      <c r="N27" s="383"/>
      <c r="O27" s="383"/>
      <c r="P27" s="383"/>
      <c r="Q27" s="383"/>
      <c r="R27" s="383"/>
      <c r="S27" s="383"/>
      <c r="T27" s="383"/>
      <c r="U27" s="383"/>
      <c r="V27" s="181">
        <f t="shared" si="1"/>
        <v>0</v>
      </c>
      <c r="W27" s="266">
        <f t="shared" si="2"/>
        <v>0</v>
      </c>
      <c r="X27" s="182"/>
      <c r="Y27" s="175"/>
      <c r="Z27" s="171"/>
      <c r="AA27" s="171"/>
    </row>
    <row r="28" spans="1:27" ht="21" customHeight="1" thickBot="1">
      <c r="A28" s="241">
        <f t="shared" si="3"/>
        <v>19</v>
      </c>
      <c r="B28" s="178" t="s">
        <v>43</v>
      </c>
      <c r="C28" s="233" t="s">
        <v>19</v>
      </c>
      <c r="D28" s="663"/>
      <c r="E28" s="664"/>
      <c r="F28" s="442">
        <v>0</v>
      </c>
      <c r="G28" s="442"/>
      <c r="H28" s="442"/>
      <c r="I28" s="386"/>
      <c r="J28" s="47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181">
        <f t="shared" si="1"/>
        <v>0</v>
      </c>
      <c r="W28" s="266">
        <f t="shared" si="2"/>
        <v>0</v>
      </c>
      <c r="X28" s="182"/>
      <c r="Y28" s="175"/>
      <c r="Z28" s="171"/>
      <c r="AA28" s="171"/>
    </row>
    <row r="29" spans="1:27" ht="25.5" customHeight="1" thickBot="1">
      <c r="A29" s="241">
        <f t="shared" si="3"/>
        <v>20</v>
      </c>
      <c r="B29" s="247" t="s">
        <v>44</v>
      </c>
      <c r="C29" s="220" t="s">
        <v>45</v>
      </c>
      <c r="D29" s="671">
        <v>788.89</v>
      </c>
      <c r="E29" s="672">
        <v>88.89</v>
      </c>
      <c r="F29" s="383">
        <v>785</v>
      </c>
      <c r="G29" s="383">
        <v>85</v>
      </c>
      <c r="H29" s="445">
        <f>F29-G29</f>
        <v>700</v>
      </c>
      <c r="I29" s="383"/>
      <c r="J29" s="475"/>
      <c r="K29" s="383">
        <v>700</v>
      </c>
      <c r="L29" s="383"/>
      <c r="M29" s="383"/>
      <c r="N29" s="383"/>
      <c r="O29" s="383"/>
      <c r="P29" s="383"/>
      <c r="Q29" s="383"/>
      <c r="R29" s="383"/>
      <c r="S29" s="383"/>
      <c r="T29" s="383"/>
      <c r="U29" s="383"/>
      <c r="V29" s="181">
        <f t="shared" si="1"/>
        <v>700</v>
      </c>
      <c r="W29" s="266">
        <f t="shared" si="2"/>
        <v>0</v>
      </c>
      <c r="X29" s="182"/>
      <c r="Y29" s="175"/>
      <c r="Z29" s="171"/>
      <c r="AA29" s="171"/>
    </row>
    <row r="30" spans="1:27" ht="20.25" customHeight="1" thickBot="1">
      <c r="A30" s="241">
        <f t="shared" si="3"/>
        <v>21</v>
      </c>
      <c r="B30" s="247" t="s">
        <v>46</v>
      </c>
      <c r="C30" s="220" t="s">
        <v>19</v>
      </c>
      <c r="D30" s="673"/>
      <c r="E30" s="674"/>
      <c r="F30" s="383"/>
      <c r="G30" s="383"/>
      <c r="H30" s="383"/>
      <c r="I30" s="383"/>
      <c r="J30" s="475"/>
      <c r="K30" s="383"/>
      <c r="L30" s="383"/>
      <c r="M30" s="383"/>
      <c r="N30" s="383"/>
      <c r="O30" s="383"/>
      <c r="P30" s="383"/>
      <c r="Q30" s="383"/>
      <c r="R30" s="383"/>
      <c r="S30" s="383"/>
      <c r="T30" s="383"/>
      <c r="U30" s="383"/>
      <c r="V30" s="181">
        <f t="shared" si="1"/>
        <v>0</v>
      </c>
      <c r="W30" s="266">
        <f t="shared" si="2"/>
        <v>0</v>
      </c>
      <c r="X30" s="182"/>
      <c r="Y30" s="175"/>
      <c r="Z30" s="171"/>
      <c r="AA30" s="171"/>
    </row>
    <row r="31" spans="1:27" ht="20.25" customHeight="1" thickBot="1">
      <c r="A31" s="241">
        <f t="shared" si="3"/>
        <v>22</v>
      </c>
      <c r="B31" s="178" t="s">
        <v>47</v>
      </c>
      <c r="C31" s="233" t="s">
        <v>19</v>
      </c>
      <c r="D31" s="671"/>
      <c r="E31" s="672"/>
      <c r="F31" s="386"/>
      <c r="G31" s="386"/>
      <c r="H31" s="386"/>
      <c r="I31" s="386"/>
      <c r="J31" s="476"/>
      <c r="K31" s="386"/>
      <c r="L31" s="386"/>
      <c r="M31" s="386"/>
      <c r="N31" s="386"/>
      <c r="O31" s="386"/>
      <c r="P31" s="386"/>
      <c r="Q31" s="386"/>
      <c r="R31" s="386"/>
      <c r="S31" s="386"/>
      <c r="T31" s="386"/>
      <c r="U31" s="386"/>
      <c r="V31" s="181">
        <f t="shared" si="1"/>
        <v>0</v>
      </c>
      <c r="W31" s="266">
        <f t="shared" si="2"/>
        <v>0</v>
      </c>
      <c r="X31" s="182"/>
      <c r="Y31" s="175"/>
      <c r="Z31" s="171"/>
      <c r="AA31" s="171"/>
    </row>
    <row r="32" spans="1:27" ht="27" customHeight="1" thickBot="1">
      <c r="A32" s="241">
        <f t="shared" si="3"/>
        <v>23</v>
      </c>
      <c r="B32" s="247" t="s">
        <v>48</v>
      </c>
      <c r="C32" s="220" t="s">
        <v>41</v>
      </c>
      <c r="D32" s="675"/>
      <c r="E32" s="675"/>
      <c r="F32" s="383">
        <v>8.63</v>
      </c>
      <c r="G32" s="383"/>
      <c r="H32" s="379">
        <f>F32-G32</f>
        <v>8.63</v>
      </c>
      <c r="I32" s="383"/>
      <c r="J32" s="475"/>
      <c r="K32" s="383"/>
      <c r="L32" s="383"/>
      <c r="M32" s="383"/>
      <c r="N32" s="383">
        <v>8.63</v>
      </c>
      <c r="O32" s="383"/>
      <c r="P32" s="383"/>
      <c r="Q32" s="383"/>
      <c r="R32" s="383"/>
      <c r="S32" s="383"/>
      <c r="T32" s="383"/>
      <c r="U32" s="383"/>
      <c r="V32" s="181">
        <f t="shared" si="1"/>
        <v>8.63</v>
      </c>
      <c r="W32" s="266">
        <f t="shared" si="2"/>
        <v>0</v>
      </c>
      <c r="X32" s="182"/>
      <c r="Y32" s="171"/>
      <c r="Z32" s="171"/>
      <c r="AA32" s="171"/>
    </row>
    <row r="33" spans="1:24" ht="15">
      <c r="A33" s="6"/>
      <c r="B33" s="7"/>
      <c r="C33" s="8"/>
      <c r="D33" s="8"/>
      <c r="E33" s="8"/>
      <c r="F33" s="9"/>
      <c r="G33" s="10"/>
      <c r="H33" s="10"/>
      <c r="I33" s="9"/>
      <c r="J33" s="11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15">
      <c r="A34" s="6"/>
      <c r="B34" s="7"/>
      <c r="C34" s="8"/>
      <c r="D34" s="8"/>
      <c r="E34" s="8"/>
      <c r="F34" s="9"/>
      <c r="G34" s="10"/>
      <c r="H34" s="10"/>
      <c r="I34" s="9"/>
      <c r="J34" s="11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5">
      <c r="A35" s="6"/>
      <c r="B35" s="732"/>
      <c r="C35" s="732"/>
      <c r="D35" s="732"/>
      <c r="E35" s="732"/>
      <c r="F35" s="732"/>
      <c r="G35" s="732"/>
      <c r="H35" s="732"/>
      <c r="I35" s="9"/>
      <c r="J35" s="11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ht="15">
      <c r="A36" s="6"/>
      <c r="B36" s="7"/>
      <c r="C36" s="8"/>
      <c r="F36" s="9"/>
      <c r="G36" s="9">
        <f>21.38-1.02-2.6</f>
        <v>17.759999999999998</v>
      </c>
      <c r="H36" s="10"/>
      <c r="I36" s="9"/>
      <c r="J36" s="11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ht="12.75">
      <c r="I37" s="292"/>
    </row>
    <row r="38" ht="12.75">
      <c r="J38" s="293"/>
    </row>
  </sheetData>
  <sheetProtection/>
  <mergeCells count="11">
    <mergeCell ref="I5:J5"/>
    <mergeCell ref="D4:D5"/>
    <mergeCell ref="E4:E5"/>
    <mergeCell ref="B35:H35"/>
    <mergeCell ref="A1:AA2"/>
    <mergeCell ref="A4:A5"/>
    <mergeCell ref="B4:B5"/>
    <mergeCell ref="C4:C5"/>
    <mergeCell ref="F4:G4"/>
    <mergeCell ref="H4:H5"/>
    <mergeCell ref="I4:U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6"/>
  <sheetViews>
    <sheetView zoomScalePageLayoutView="0" workbookViewId="0" topLeftCell="A7">
      <selection activeCell="I19" sqref="I19"/>
    </sheetView>
  </sheetViews>
  <sheetFormatPr defaultColWidth="9.00390625" defaultRowHeight="12.75"/>
  <cols>
    <col min="1" max="1" width="5.625" style="0" customWidth="1"/>
    <col min="2" max="2" width="36.125" style="0" customWidth="1"/>
    <col min="4" max="4" width="19.75390625" style="0" customWidth="1"/>
    <col min="5" max="5" width="17.375" style="0" customWidth="1"/>
    <col min="6" max="6" width="11.375" style="0" hidden="1" customWidth="1"/>
    <col min="7" max="7" width="8.125" style="0" hidden="1" customWidth="1"/>
    <col min="9" max="9" width="8.625" style="0" customWidth="1"/>
    <col min="10" max="10" width="8.00390625" style="0" customWidth="1"/>
    <col min="17" max="17" width="8.75390625" style="0" customWidth="1"/>
    <col min="18" max="18" width="10.875" style="0" customWidth="1"/>
    <col min="21" max="21" width="9.75390625" style="0" customWidth="1"/>
  </cols>
  <sheetData>
    <row r="1" spans="1:27" ht="13.5" customHeight="1">
      <c r="A1" s="739" t="s">
        <v>72</v>
      </c>
      <c r="B1" s="739"/>
      <c r="C1" s="739"/>
      <c r="D1" s="739"/>
      <c r="E1" s="739"/>
      <c r="F1" s="739"/>
      <c r="G1" s="739"/>
      <c r="H1" s="739"/>
      <c r="I1" s="739"/>
      <c r="J1" s="739"/>
      <c r="K1" s="739"/>
      <c r="L1" s="739"/>
      <c r="M1" s="739"/>
      <c r="N1" s="739"/>
      <c r="O1" s="739"/>
      <c r="P1" s="739"/>
      <c r="Q1" s="739"/>
      <c r="R1" s="739"/>
      <c r="S1" s="739"/>
      <c r="T1" s="739"/>
      <c r="U1" s="739"/>
      <c r="V1" s="739"/>
      <c r="W1" s="739"/>
      <c r="X1" s="739"/>
      <c r="Y1" s="739"/>
      <c r="Z1" s="739"/>
      <c r="AA1" s="739"/>
    </row>
    <row r="2" spans="1:27" ht="33" customHeight="1">
      <c r="A2" s="739"/>
      <c r="B2" s="739"/>
      <c r="C2" s="739"/>
      <c r="D2" s="739"/>
      <c r="E2" s="739"/>
      <c r="F2" s="739"/>
      <c r="G2" s="739"/>
      <c r="H2" s="739"/>
      <c r="I2" s="739"/>
      <c r="J2" s="739"/>
      <c r="K2" s="739"/>
      <c r="L2" s="739"/>
      <c r="M2" s="739"/>
      <c r="N2" s="739"/>
      <c r="O2" s="739"/>
      <c r="P2" s="739"/>
      <c r="Q2" s="739"/>
      <c r="R2" s="739"/>
      <c r="S2" s="739"/>
      <c r="T2" s="739"/>
      <c r="U2" s="739"/>
      <c r="V2" s="739"/>
      <c r="W2" s="739"/>
      <c r="X2" s="739"/>
      <c r="Y2" s="739"/>
      <c r="Z2" s="739"/>
      <c r="AA2" s="739"/>
    </row>
    <row r="3" spans="1:27" ht="14.25" customHeight="1" thickBot="1">
      <c r="A3" s="171"/>
      <c r="B3" s="171"/>
      <c r="C3" s="171"/>
      <c r="F3" s="171"/>
      <c r="G3" s="171"/>
      <c r="H3" s="171"/>
      <c r="I3" s="171"/>
      <c r="J3" s="294"/>
      <c r="K3" s="171"/>
      <c r="L3" s="171"/>
      <c r="M3" s="171"/>
      <c r="N3" s="171"/>
      <c r="O3" s="171"/>
      <c r="P3" s="171"/>
      <c r="Q3" s="171"/>
      <c r="R3" s="519" t="s">
        <v>81</v>
      </c>
      <c r="S3" s="171"/>
      <c r="T3" s="520" t="s">
        <v>85</v>
      </c>
      <c r="U3" s="171"/>
      <c r="V3" s="171"/>
      <c r="W3" s="171"/>
      <c r="X3" s="171"/>
      <c r="Y3" s="171"/>
      <c r="Z3" s="171"/>
      <c r="AA3" s="171"/>
    </row>
    <row r="4" spans="1:27" ht="30" customHeight="1" thickBot="1">
      <c r="A4" s="745" t="s">
        <v>6</v>
      </c>
      <c r="B4" s="747" t="s">
        <v>7</v>
      </c>
      <c r="C4" s="747" t="s">
        <v>8</v>
      </c>
      <c r="D4" s="730" t="s">
        <v>83</v>
      </c>
      <c r="E4" s="730" t="s">
        <v>84</v>
      </c>
      <c r="F4" s="749" t="s">
        <v>50</v>
      </c>
      <c r="G4" s="750"/>
      <c r="H4" s="730" t="s">
        <v>82</v>
      </c>
      <c r="I4" s="751" t="s">
        <v>9</v>
      </c>
      <c r="J4" s="752"/>
      <c r="K4" s="752"/>
      <c r="L4" s="752"/>
      <c r="M4" s="752"/>
      <c r="N4" s="752"/>
      <c r="O4" s="752"/>
      <c r="P4" s="752"/>
      <c r="Q4" s="752"/>
      <c r="R4" s="752"/>
      <c r="S4" s="752"/>
      <c r="T4" s="753"/>
      <c r="U4" s="754"/>
      <c r="V4" s="295"/>
      <c r="W4" s="295"/>
      <c r="X4" s="296">
        <f>R12+S12</f>
        <v>13.15</v>
      </c>
      <c r="Y4" s="171"/>
      <c r="Z4" s="171"/>
      <c r="AA4" s="171"/>
    </row>
    <row r="5" spans="1:27" ht="23.25" customHeight="1" thickBot="1">
      <c r="A5" s="746"/>
      <c r="B5" s="748"/>
      <c r="C5" s="748"/>
      <c r="D5" s="731"/>
      <c r="E5" s="731"/>
      <c r="F5" s="215" t="s">
        <v>49</v>
      </c>
      <c r="G5" s="263" t="s">
        <v>10</v>
      </c>
      <c r="H5" s="731"/>
      <c r="I5" s="742" t="s">
        <v>4</v>
      </c>
      <c r="J5" s="743"/>
      <c r="K5" s="173" t="s">
        <v>3</v>
      </c>
      <c r="L5" s="216" t="s">
        <v>0</v>
      </c>
      <c r="M5" s="217" t="s">
        <v>1</v>
      </c>
      <c r="N5" s="216" t="s">
        <v>5</v>
      </c>
      <c r="O5" s="217" t="s">
        <v>11</v>
      </c>
      <c r="P5" s="216" t="s">
        <v>12</v>
      </c>
      <c r="Q5" s="217" t="s">
        <v>13</v>
      </c>
      <c r="R5" s="216" t="s">
        <v>14</v>
      </c>
      <c r="S5" s="217" t="s">
        <v>15</v>
      </c>
      <c r="T5" s="216" t="s">
        <v>16</v>
      </c>
      <c r="U5" s="281" t="s">
        <v>17</v>
      </c>
      <c r="V5" s="218"/>
      <c r="W5" s="218"/>
      <c r="X5" s="218">
        <f>X4/3</f>
        <v>4.383333333333334</v>
      </c>
      <c r="Y5" s="175"/>
      <c r="Z5" s="171"/>
      <c r="AA5" s="171"/>
    </row>
    <row r="6" spans="1:27" ht="15" thickBot="1">
      <c r="A6" s="219"/>
      <c r="B6" s="220"/>
      <c r="C6" s="220"/>
      <c r="D6" s="524"/>
      <c r="E6" s="19"/>
      <c r="F6" s="221"/>
      <c r="G6" s="297"/>
      <c r="H6" s="220"/>
      <c r="I6" s="415" t="s">
        <v>49</v>
      </c>
      <c r="J6" s="474" t="s">
        <v>10</v>
      </c>
      <c r="K6" s="222"/>
      <c r="L6" s="223"/>
      <c r="M6" s="222"/>
      <c r="N6" s="223"/>
      <c r="O6" s="222"/>
      <c r="P6" s="223"/>
      <c r="Q6" s="222"/>
      <c r="R6" s="223"/>
      <c r="S6" s="222"/>
      <c r="T6" s="224"/>
      <c r="U6" s="225"/>
      <c r="V6" s="218"/>
      <c r="W6" s="218"/>
      <c r="X6" s="218"/>
      <c r="Y6" s="175"/>
      <c r="Z6" s="171"/>
      <c r="AA6" s="171"/>
    </row>
    <row r="7" spans="1:27" ht="24" customHeight="1" thickBot="1">
      <c r="A7" s="265">
        <v>1</v>
      </c>
      <c r="B7" s="178" t="s">
        <v>62</v>
      </c>
      <c r="C7" s="298" t="s">
        <v>19</v>
      </c>
      <c r="D7" s="525">
        <v>751.8299999999999</v>
      </c>
      <c r="E7" s="526">
        <v>319.93</v>
      </c>
      <c r="F7" s="299">
        <f>F8+F9+F10</f>
        <v>448.44000000000005</v>
      </c>
      <c r="G7" s="300">
        <f aca="true" t="shared" si="0" ref="G7:U7">G8+G9+G10</f>
        <v>16.54</v>
      </c>
      <c r="H7" s="301">
        <f aca="true" t="shared" si="1" ref="H7:H19">F7-G7</f>
        <v>431.90000000000003</v>
      </c>
      <c r="I7" s="302">
        <f t="shared" si="0"/>
        <v>45</v>
      </c>
      <c r="J7" s="679">
        <v>23.01</v>
      </c>
      <c r="K7" s="302">
        <f t="shared" si="0"/>
        <v>25</v>
      </c>
      <c r="L7" s="302">
        <f t="shared" si="0"/>
        <v>28</v>
      </c>
      <c r="M7" s="302">
        <f t="shared" si="0"/>
        <v>48</v>
      </c>
      <c r="N7" s="302">
        <f t="shared" si="0"/>
        <v>79.78</v>
      </c>
      <c r="O7" s="302">
        <f t="shared" si="0"/>
        <v>85.93</v>
      </c>
      <c r="P7" s="302">
        <f t="shared" si="0"/>
        <v>48.739999999999995</v>
      </c>
      <c r="Q7" s="302">
        <f t="shared" si="0"/>
        <v>42.69</v>
      </c>
      <c r="R7" s="302">
        <f t="shared" si="0"/>
        <v>28.76</v>
      </c>
      <c r="S7" s="303">
        <f t="shared" si="0"/>
        <v>0</v>
      </c>
      <c r="T7" s="303">
        <f t="shared" si="0"/>
        <v>0</v>
      </c>
      <c r="U7" s="304">
        <f t="shared" si="0"/>
        <v>0</v>
      </c>
      <c r="V7" s="305">
        <f>SUM(I7:U7)</f>
        <v>454.91</v>
      </c>
      <c r="W7" s="305">
        <f>H7-V7</f>
        <v>-23.00999999999999</v>
      </c>
      <c r="X7" s="227"/>
      <c r="Y7" s="175"/>
      <c r="Z7" s="171"/>
      <c r="AA7" s="171"/>
    </row>
    <row r="8" spans="1:27" ht="21" customHeight="1">
      <c r="A8" s="306"/>
      <c r="B8" s="184" t="s">
        <v>63</v>
      </c>
      <c r="C8" s="307" t="s">
        <v>19</v>
      </c>
      <c r="D8" s="527">
        <v>247.38</v>
      </c>
      <c r="E8" s="528">
        <v>99.43</v>
      </c>
      <c r="F8" s="308">
        <v>156.59</v>
      </c>
      <c r="G8" s="309">
        <v>8.64</v>
      </c>
      <c r="H8" s="680">
        <f t="shared" si="1"/>
        <v>147.95</v>
      </c>
      <c r="I8" s="311">
        <v>25</v>
      </c>
      <c r="J8" s="483">
        <v>12.1</v>
      </c>
      <c r="K8" s="282">
        <v>15</v>
      </c>
      <c r="L8" s="282">
        <v>18</v>
      </c>
      <c r="M8" s="282">
        <v>18</v>
      </c>
      <c r="N8" s="282">
        <v>18</v>
      </c>
      <c r="O8" s="282">
        <v>20</v>
      </c>
      <c r="P8" s="681">
        <v>20</v>
      </c>
      <c r="Q8" s="282">
        <v>13.95</v>
      </c>
      <c r="R8" s="282"/>
      <c r="S8" s="282"/>
      <c r="T8" s="282"/>
      <c r="U8" s="283"/>
      <c r="V8" s="229">
        <f aca="true" t="shared" si="2" ref="V8:V32">SUM(I8:U8)</f>
        <v>160.04999999999998</v>
      </c>
      <c r="W8" s="305">
        <f aca="true" t="shared" si="3" ref="W8:W32">H8-V8</f>
        <v>-12.099999999999994</v>
      </c>
      <c r="X8" s="227"/>
      <c r="Y8" s="175"/>
      <c r="Z8" s="171"/>
      <c r="AA8" s="171"/>
    </row>
    <row r="9" spans="1:27" ht="24" customHeight="1" thickBot="1">
      <c r="A9" s="312"/>
      <c r="B9" s="185" t="s">
        <v>64</v>
      </c>
      <c r="C9" s="313" t="s">
        <v>19</v>
      </c>
      <c r="D9" s="529">
        <v>484.2</v>
      </c>
      <c r="E9" s="530">
        <v>220.5</v>
      </c>
      <c r="F9" s="314">
        <f>127.88+143.72</f>
        <v>271.6</v>
      </c>
      <c r="G9" s="315">
        <v>7.9</v>
      </c>
      <c r="H9" s="310">
        <f t="shared" si="1"/>
        <v>263.70000000000005</v>
      </c>
      <c r="I9" s="316">
        <v>20</v>
      </c>
      <c r="J9" s="682">
        <v>10.91</v>
      </c>
      <c r="K9" s="317">
        <v>10</v>
      </c>
      <c r="L9" s="317">
        <v>10</v>
      </c>
      <c r="M9" s="317">
        <v>20</v>
      </c>
      <c r="N9" s="317">
        <v>51.53</v>
      </c>
      <c r="O9" s="317">
        <v>65.93</v>
      </c>
      <c r="P9" s="317">
        <v>28.74</v>
      </c>
      <c r="Q9" s="317">
        <v>28.74</v>
      </c>
      <c r="R9" s="317">
        <v>28.76</v>
      </c>
      <c r="S9" s="317"/>
      <c r="T9" s="317"/>
      <c r="U9" s="318"/>
      <c r="V9" s="229">
        <f t="shared" si="2"/>
        <v>274.61</v>
      </c>
      <c r="W9" s="305">
        <f t="shared" si="3"/>
        <v>-10.909999999999968</v>
      </c>
      <c r="X9" s="227"/>
      <c r="Y9" s="175"/>
      <c r="Z9" s="171"/>
      <c r="AA9" s="171"/>
    </row>
    <row r="10" spans="1:27" ht="24" customHeight="1" thickBot="1">
      <c r="A10" s="230"/>
      <c r="B10" s="185" t="s">
        <v>65</v>
      </c>
      <c r="C10" s="231" t="s">
        <v>19</v>
      </c>
      <c r="D10" s="546">
        <v>20.25</v>
      </c>
      <c r="E10" s="521">
        <v>0</v>
      </c>
      <c r="F10" s="285">
        <v>20.25</v>
      </c>
      <c r="G10" s="269"/>
      <c r="H10" s="680">
        <f t="shared" si="1"/>
        <v>20.25</v>
      </c>
      <c r="I10" s="319"/>
      <c r="J10" s="484">
        <v>1.4</v>
      </c>
      <c r="K10" s="270"/>
      <c r="L10" s="270"/>
      <c r="M10" s="284">
        <v>10</v>
      </c>
      <c r="N10" s="285">
        <v>10.25</v>
      </c>
      <c r="O10" s="284"/>
      <c r="P10" s="284"/>
      <c r="Q10" s="270"/>
      <c r="R10" s="270"/>
      <c r="S10" s="270"/>
      <c r="T10" s="270"/>
      <c r="U10" s="286"/>
      <c r="V10" s="229">
        <f t="shared" si="2"/>
        <v>21.65</v>
      </c>
      <c r="W10" s="305">
        <f t="shared" si="3"/>
        <v>-1.3999999999999986</v>
      </c>
      <c r="X10" s="227"/>
      <c r="Y10" s="175"/>
      <c r="Z10" s="171"/>
      <c r="AA10" s="171"/>
    </row>
    <row r="11" spans="1:27" ht="22.5" customHeight="1" thickBot="1">
      <c r="A11" s="200">
        <v>2</v>
      </c>
      <c r="B11" s="199" t="s">
        <v>23</v>
      </c>
      <c r="C11" s="232" t="s">
        <v>19</v>
      </c>
      <c r="D11" s="529">
        <v>176.17</v>
      </c>
      <c r="E11" s="572">
        <v>162.69</v>
      </c>
      <c r="F11" s="320">
        <v>13.48</v>
      </c>
      <c r="G11" s="321"/>
      <c r="H11" s="322">
        <f t="shared" si="1"/>
        <v>13.48</v>
      </c>
      <c r="I11" s="323"/>
      <c r="J11" s="485"/>
      <c r="K11" s="287"/>
      <c r="L11" s="287">
        <v>5</v>
      </c>
      <c r="M11" s="287">
        <v>5</v>
      </c>
      <c r="N11" s="287">
        <v>3.48</v>
      </c>
      <c r="O11" s="287"/>
      <c r="P11" s="287"/>
      <c r="Q11" s="287"/>
      <c r="R11" s="287"/>
      <c r="S11" s="287"/>
      <c r="T11" s="287"/>
      <c r="U11" s="288"/>
      <c r="V11" s="229">
        <f t="shared" si="2"/>
        <v>13.48</v>
      </c>
      <c r="W11" s="305">
        <f t="shared" si="3"/>
        <v>0</v>
      </c>
      <c r="X11" s="227"/>
      <c r="Y11" s="175"/>
      <c r="Z11" s="171"/>
      <c r="AA11" s="171"/>
    </row>
    <row r="12" spans="1:27" ht="22.5" customHeight="1" thickBot="1">
      <c r="A12" s="177">
        <v>3</v>
      </c>
      <c r="B12" s="178" t="s">
        <v>66</v>
      </c>
      <c r="C12" s="233" t="s">
        <v>19</v>
      </c>
      <c r="D12" s="531">
        <v>874.72</v>
      </c>
      <c r="E12" s="521">
        <v>452.83</v>
      </c>
      <c r="F12" s="324">
        <v>421.89</v>
      </c>
      <c r="G12" s="325">
        <v>38.74</v>
      </c>
      <c r="H12" s="301">
        <f t="shared" si="1"/>
        <v>383.15</v>
      </c>
      <c r="I12" s="326">
        <v>102</v>
      </c>
      <c r="J12" s="486">
        <v>24.6</v>
      </c>
      <c r="K12" s="327"/>
      <c r="L12" s="327">
        <v>22</v>
      </c>
      <c r="M12" s="186">
        <v>31</v>
      </c>
      <c r="N12" s="186">
        <v>31</v>
      </c>
      <c r="O12" s="186">
        <v>82</v>
      </c>
      <c r="P12" s="186">
        <v>51</v>
      </c>
      <c r="Q12" s="186">
        <v>51</v>
      </c>
      <c r="R12" s="186">
        <v>13.15</v>
      </c>
      <c r="S12" s="327"/>
      <c r="T12" s="193"/>
      <c r="U12" s="194"/>
      <c r="V12" s="229">
        <f>SUM(I12:U12)</f>
        <v>407.75</v>
      </c>
      <c r="W12" s="305">
        <f t="shared" si="3"/>
        <v>-24.600000000000023</v>
      </c>
      <c r="X12" s="227"/>
      <c r="Y12" s="175"/>
      <c r="Z12" s="171"/>
      <c r="AA12" s="171"/>
    </row>
    <row r="13" spans="1:27" ht="20.25" customHeight="1" thickBot="1">
      <c r="A13" s="187">
        <f>1+A12</f>
        <v>4</v>
      </c>
      <c r="B13" s="188" t="s">
        <v>25</v>
      </c>
      <c r="C13" s="241" t="s">
        <v>19</v>
      </c>
      <c r="D13" s="532">
        <v>15.89</v>
      </c>
      <c r="E13" s="533">
        <v>5.21</v>
      </c>
      <c r="F13" s="331">
        <v>10.68</v>
      </c>
      <c r="G13" s="329"/>
      <c r="H13" s="338">
        <f t="shared" si="1"/>
        <v>10.68</v>
      </c>
      <c r="I13" s="242"/>
      <c r="J13" s="487"/>
      <c r="K13" s="189"/>
      <c r="L13" s="189">
        <v>0.2</v>
      </c>
      <c r="M13" s="189">
        <v>0.55</v>
      </c>
      <c r="N13" s="189">
        <v>1.55</v>
      </c>
      <c r="O13" s="189">
        <v>4</v>
      </c>
      <c r="P13" s="189">
        <v>3</v>
      </c>
      <c r="Q13" s="189">
        <v>1.38</v>
      </c>
      <c r="R13" s="189"/>
      <c r="S13" s="189"/>
      <c r="T13" s="190"/>
      <c r="U13" s="191"/>
      <c r="V13" s="229">
        <f t="shared" si="2"/>
        <v>10.68</v>
      </c>
      <c r="W13" s="305">
        <f t="shared" si="3"/>
        <v>0</v>
      </c>
      <c r="X13" s="227"/>
      <c r="Y13" s="175"/>
      <c r="Z13" s="171"/>
      <c r="AA13" s="171"/>
    </row>
    <row r="14" spans="1:27" ht="19.5" customHeight="1" thickBot="1">
      <c r="A14" s="235">
        <f aca="true" t="shared" si="4" ref="A14:A32">1+A13</f>
        <v>5</v>
      </c>
      <c r="B14" s="178" t="s">
        <v>67</v>
      </c>
      <c r="C14" s="233" t="s">
        <v>19</v>
      </c>
      <c r="D14" s="531">
        <v>17.85</v>
      </c>
      <c r="E14" s="521">
        <v>9.33</v>
      </c>
      <c r="F14" s="331">
        <v>8.52</v>
      </c>
      <c r="G14" s="325">
        <v>1.44</v>
      </c>
      <c r="H14" s="332">
        <f t="shared" si="1"/>
        <v>7.08</v>
      </c>
      <c r="I14" s="234"/>
      <c r="J14" s="488"/>
      <c r="K14" s="186"/>
      <c r="L14" s="186">
        <v>0.35</v>
      </c>
      <c r="M14" s="186">
        <v>1</v>
      </c>
      <c r="N14" s="186">
        <v>1.5</v>
      </c>
      <c r="O14" s="186">
        <v>1.5</v>
      </c>
      <c r="P14" s="186">
        <v>1.73</v>
      </c>
      <c r="Q14" s="186">
        <v>1</v>
      </c>
      <c r="R14" s="186"/>
      <c r="S14" s="186"/>
      <c r="T14" s="193"/>
      <c r="U14" s="194"/>
      <c r="V14" s="229">
        <f t="shared" si="2"/>
        <v>7.08</v>
      </c>
      <c r="W14" s="305">
        <f t="shared" si="3"/>
        <v>0</v>
      </c>
      <c r="X14" s="227"/>
      <c r="Y14" s="175"/>
      <c r="Z14" s="171"/>
      <c r="AA14" s="171"/>
    </row>
    <row r="15" spans="1:27" ht="22.5" customHeight="1" thickBot="1">
      <c r="A15" s="289">
        <f t="shared" si="4"/>
        <v>6</v>
      </c>
      <c r="B15" s="188" t="s">
        <v>27</v>
      </c>
      <c r="C15" s="241" t="s">
        <v>19</v>
      </c>
      <c r="D15" s="549">
        <v>3.3</v>
      </c>
      <c r="E15" s="533">
        <v>0.15</v>
      </c>
      <c r="F15" s="333">
        <v>3.3</v>
      </c>
      <c r="G15" s="334">
        <v>0.15</v>
      </c>
      <c r="H15" s="335">
        <f t="shared" si="1"/>
        <v>3.15</v>
      </c>
      <c r="I15" s="336"/>
      <c r="J15" s="489"/>
      <c r="K15" s="237"/>
      <c r="L15" s="237">
        <v>0.5</v>
      </c>
      <c r="M15" s="237">
        <v>0.5</v>
      </c>
      <c r="N15" s="237">
        <v>0.3</v>
      </c>
      <c r="O15" s="237">
        <v>0.3</v>
      </c>
      <c r="P15" s="237">
        <v>1.55</v>
      </c>
      <c r="Q15" s="237"/>
      <c r="R15" s="237"/>
      <c r="S15" s="237"/>
      <c r="T15" s="238"/>
      <c r="U15" s="239"/>
      <c r="V15" s="229">
        <f t="shared" si="2"/>
        <v>3.1500000000000004</v>
      </c>
      <c r="W15" s="305">
        <f t="shared" si="3"/>
        <v>0</v>
      </c>
      <c r="X15" s="227"/>
      <c r="Y15" s="175"/>
      <c r="Z15" s="171"/>
      <c r="AA15" s="171"/>
    </row>
    <row r="16" spans="1:27" ht="20.25" customHeight="1" thickBot="1">
      <c r="A16" s="187">
        <f t="shared" si="4"/>
        <v>7</v>
      </c>
      <c r="B16" s="178" t="s">
        <v>28</v>
      </c>
      <c r="C16" s="233" t="s">
        <v>29</v>
      </c>
      <c r="D16" s="531">
        <v>2.53</v>
      </c>
      <c r="E16" s="521">
        <v>2.38</v>
      </c>
      <c r="F16" s="324">
        <v>0.15</v>
      </c>
      <c r="G16" s="325">
        <v>0.07</v>
      </c>
      <c r="H16" s="337">
        <f t="shared" si="1"/>
        <v>0.07999999999999999</v>
      </c>
      <c r="I16" s="240"/>
      <c r="J16" s="490"/>
      <c r="K16" s="196"/>
      <c r="L16" s="186">
        <v>0.08</v>
      </c>
      <c r="M16" s="195"/>
      <c r="N16" s="195"/>
      <c r="O16" s="195"/>
      <c r="P16" s="195"/>
      <c r="Q16" s="195"/>
      <c r="R16" s="195"/>
      <c r="S16" s="195"/>
      <c r="T16" s="197"/>
      <c r="U16" s="198"/>
      <c r="V16" s="229">
        <f t="shared" si="2"/>
        <v>0.08</v>
      </c>
      <c r="W16" s="305">
        <f t="shared" si="3"/>
        <v>0</v>
      </c>
      <c r="X16" s="227"/>
      <c r="Y16" s="175"/>
      <c r="Z16" s="171"/>
      <c r="AA16" s="171"/>
    </row>
    <row r="17" spans="1:27" ht="21.75" customHeight="1" thickBot="1">
      <c r="A17" s="235">
        <f t="shared" si="4"/>
        <v>8</v>
      </c>
      <c r="B17" s="188" t="s">
        <v>30</v>
      </c>
      <c r="C17" s="241" t="s">
        <v>31</v>
      </c>
      <c r="D17" s="532">
        <v>78.22</v>
      </c>
      <c r="E17" s="533">
        <v>0</v>
      </c>
      <c r="F17" s="331">
        <f>18.87+24.016+35.33</f>
        <v>78.216</v>
      </c>
      <c r="G17" s="683"/>
      <c r="H17" s="338">
        <f t="shared" si="1"/>
        <v>78.216</v>
      </c>
      <c r="I17" s="242"/>
      <c r="J17" s="487"/>
      <c r="K17" s="189"/>
      <c r="L17" s="189">
        <v>11</v>
      </c>
      <c r="M17" s="189">
        <v>12</v>
      </c>
      <c r="N17" s="189">
        <v>12</v>
      </c>
      <c r="O17" s="189">
        <v>12</v>
      </c>
      <c r="P17" s="189">
        <v>12</v>
      </c>
      <c r="Q17" s="189">
        <v>12</v>
      </c>
      <c r="R17" s="189">
        <v>7.22</v>
      </c>
      <c r="S17" s="189"/>
      <c r="T17" s="190"/>
      <c r="U17" s="191"/>
      <c r="V17" s="229">
        <f t="shared" si="2"/>
        <v>78.22</v>
      </c>
      <c r="W17" s="305">
        <f t="shared" si="3"/>
        <v>-0.0040000000000048885</v>
      </c>
      <c r="X17" s="227"/>
      <c r="Y17" s="175"/>
      <c r="Z17" s="171"/>
      <c r="AA17" s="171"/>
    </row>
    <row r="18" spans="1:27" ht="21.75" customHeight="1" thickBot="1">
      <c r="A18" s="289">
        <f t="shared" si="4"/>
        <v>9</v>
      </c>
      <c r="B18" s="188" t="s">
        <v>75</v>
      </c>
      <c r="C18" s="241" t="s">
        <v>31</v>
      </c>
      <c r="D18" s="531">
        <v>30.57</v>
      </c>
      <c r="E18" s="521">
        <v>0</v>
      </c>
      <c r="F18" s="320"/>
      <c r="G18" s="321"/>
      <c r="H18" s="407"/>
      <c r="I18" s="242"/>
      <c r="J18" s="487"/>
      <c r="K18" s="189"/>
      <c r="L18" s="189"/>
      <c r="M18" s="189"/>
      <c r="N18" s="189"/>
      <c r="O18" s="189">
        <v>30.57</v>
      </c>
      <c r="P18" s="189"/>
      <c r="Q18" s="189"/>
      <c r="R18" s="189"/>
      <c r="S18" s="189"/>
      <c r="T18" s="190"/>
      <c r="U18" s="191"/>
      <c r="V18" s="229"/>
      <c r="W18" s="305"/>
      <c r="X18" s="227"/>
      <c r="Y18" s="175"/>
      <c r="Z18" s="171"/>
      <c r="AA18" s="171"/>
    </row>
    <row r="19" spans="1:27" ht="21" customHeight="1" thickBot="1">
      <c r="A19" s="187">
        <f t="shared" si="4"/>
        <v>10</v>
      </c>
      <c r="B19" s="178" t="s">
        <v>32</v>
      </c>
      <c r="C19" s="233" t="s">
        <v>2</v>
      </c>
      <c r="D19" s="534">
        <v>857</v>
      </c>
      <c r="E19" s="535">
        <v>0</v>
      </c>
      <c r="F19" s="180">
        <v>857</v>
      </c>
      <c r="G19" s="339"/>
      <c r="H19" s="340">
        <f t="shared" si="1"/>
        <v>857</v>
      </c>
      <c r="I19" s="240"/>
      <c r="J19" s="490"/>
      <c r="K19" s="195"/>
      <c r="L19" s="195"/>
      <c r="M19" s="195"/>
      <c r="N19" s="195"/>
      <c r="O19" s="195"/>
      <c r="P19" s="195"/>
      <c r="Q19" s="186">
        <v>500</v>
      </c>
      <c r="R19" s="186">
        <v>357</v>
      </c>
      <c r="S19" s="195"/>
      <c r="T19" s="197"/>
      <c r="U19" s="198"/>
      <c r="V19" s="229">
        <f t="shared" si="2"/>
        <v>857</v>
      </c>
      <c r="W19" s="305">
        <f t="shared" si="3"/>
        <v>0</v>
      </c>
      <c r="X19" s="227"/>
      <c r="Y19" s="175"/>
      <c r="Z19" s="171"/>
      <c r="AA19" s="171"/>
    </row>
    <row r="20" spans="1:27" ht="19.5" customHeight="1" thickBot="1">
      <c r="A20" s="235">
        <f t="shared" si="4"/>
        <v>11</v>
      </c>
      <c r="B20" s="188" t="s">
        <v>33</v>
      </c>
      <c r="C20" s="241" t="s">
        <v>19</v>
      </c>
      <c r="D20" s="531">
        <v>0.03</v>
      </c>
      <c r="E20" s="521">
        <v>0</v>
      </c>
      <c r="F20" s="341"/>
      <c r="G20" s="342"/>
      <c r="H20" s="343"/>
      <c r="I20" s="242"/>
      <c r="J20" s="487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1"/>
      <c r="V20" s="229">
        <f t="shared" si="2"/>
        <v>0</v>
      </c>
      <c r="W20" s="305">
        <f t="shared" si="3"/>
        <v>0</v>
      </c>
      <c r="X20" s="227"/>
      <c r="Y20" s="175"/>
      <c r="Z20" s="171"/>
      <c r="AA20" s="171"/>
    </row>
    <row r="21" spans="1:27" ht="23.25" customHeight="1" thickBot="1">
      <c r="A21" s="289">
        <f t="shared" si="4"/>
        <v>12</v>
      </c>
      <c r="B21" s="243" t="s">
        <v>34</v>
      </c>
      <c r="C21" s="226" t="s">
        <v>35</v>
      </c>
      <c r="D21" s="529">
        <v>773</v>
      </c>
      <c r="E21" s="530">
        <v>0</v>
      </c>
      <c r="F21" s="344">
        <v>773</v>
      </c>
      <c r="G21" s="345"/>
      <c r="H21" s="340">
        <f>F21-G21</f>
        <v>773</v>
      </c>
      <c r="I21" s="244"/>
      <c r="J21" s="491"/>
      <c r="K21" s="245"/>
      <c r="L21" s="245"/>
      <c r="M21" s="245"/>
      <c r="N21" s="245"/>
      <c r="O21" s="245"/>
      <c r="P21" s="346">
        <v>250</v>
      </c>
      <c r="Q21" s="346">
        <v>250</v>
      </c>
      <c r="R21" s="346">
        <v>273</v>
      </c>
      <c r="S21" s="245"/>
      <c r="T21" s="245"/>
      <c r="U21" s="246"/>
      <c r="V21" s="229">
        <f t="shared" si="2"/>
        <v>773</v>
      </c>
      <c r="W21" s="305">
        <f t="shared" si="3"/>
        <v>0</v>
      </c>
      <c r="X21" s="227"/>
      <c r="Y21" s="175"/>
      <c r="Z21" s="171"/>
      <c r="AA21" s="171"/>
    </row>
    <row r="22" spans="1:27" ht="24" customHeight="1" thickBot="1">
      <c r="A22" s="187">
        <f t="shared" si="4"/>
        <v>13</v>
      </c>
      <c r="B22" s="247" t="s">
        <v>36</v>
      </c>
      <c r="C22" s="220" t="s">
        <v>2</v>
      </c>
      <c r="D22" s="531">
        <v>322</v>
      </c>
      <c r="E22" s="521">
        <v>0</v>
      </c>
      <c r="F22" s="347">
        <v>322</v>
      </c>
      <c r="G22" s="348"/>
      <c r="H22" s="349">
        <f>F22-G22</f>
        <v>322</v>
      </c>
      <c r="I22" s="242"/>
      <c r="J22" s="487"/>
      <c r="K22" s="189"/>
      <c r="L22" s="189"/>
      <c r="M22" s="189"/>
      <c r="N22" s="189"/>
      <c r="O22" s="189"/>
      <c r="P22" s="189"/>
      <c r="Q22" s="189">
        <v>200</v>
      </c>
      <c r="R22" s="189">
        <v>122</v>
      </c>
      <c r="S22" s="189"/>
      <c r="T22" s="190"/>
      <c r="U22" s="191"/>
      <c r="V22" s="229">
        <f t="shared" si="2"/>
        <v>322</v>
      </c>
      <c r="W22" s="305">
        <f t="shared" si="3"/>
        <v>0</v>
      </c>
      <c r="X22" s="227"/>
      <c r="Y22" s="201"/>
      <c r="Z22" s="171"/>
      <c r="AA22" s="171"/>
    </row>
    <row r="23" spans="1:27" ht="20.25" customHeight="1" thickBot="1">
      <c r="A23" s="235">
        <f t="shared" si="4"/>
        <v>14</v>
      </c>
      <c r="B23" s="248" t="s">
        <v>37</v>
      </c>
      <c r="C23" s="249" t="s">
        <v>2</v>
      </c>
      <c r="D23" s="529">
        <v>128</v>
      </c>
      <c r="E23" s="530">
        <v>128</v>
      </c>
      <c r="F23" s="684">
        <v>128</v>
      </c>
      <c r="G23" s="685">
        <v>128</v>
      </c>
      <c r="H23" s="340">
        <f>F23-G23</f>
        <v>0</v>
      </c>
      <c r="I23" s="250"/>
      <c r="J23" s="492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2"/>
      <c r="V23" s="229">
        <f t="shared" si="2"/>
        <v>0</v>
      </c>
      <c r="W23" s="305">
        <f t="shared" si="3"/>
        <v>0</v>
      </c>
      <c r="X23" s="227"/>
      <c r="Y23" s="175"/>
      <c r="Z23" s="171"/>
      <c r="AA23" s="171"/>
    </row>
    <row r="24" spans="1:27" ht="24" customHeight="1" thickBot="1">
      <c r="A24" s="289">
        <f t="shared" si="4"/>
        <v>15</v>
      </c>
      <c r="B24" s="205" t="s">
        <v>38</v>
      </c>
      <c r="C24" s="350" t="s">
        <v>35</v>
      </c>
      <c r="D24" s="531">
        <v>8364</v>
      </c>
      <c r="E24" s="521">
        <v>8364</v>
      </c>
      <c r="F24" s="686">
        <v>8364</v>
      </c>
      <c r="G24" s="687">
        <v>8364</v>
      </c>
      <c r="H24" s="330">
        <f>F24-G24</f>
        <v>0</v>
      </c>
      <c r="I24" s="351"/>
      <c r="J24" s="493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6"/>
      <c r="V24" s="229">
        <f t="shared" si="2"/>
        <v>0</v>
      </c>
      <c r="W24" s="305">
        <f t="shared" si="3"/>
        <v>0</v>
      </c>
      <c r="X24" s="227"/>
      <c r="Y24" s="175"/>
      <c r="Z24" s="171"/>
      <c r="AA24" s="171"/>
    </row>
    <row r="25" spans="1:27" ht="26.25" thickBot="1">
      <c r="A25" s="187">
        <f t="shared" si="4"/>
        <v>16</v>
      </c>
      <c r="B25" s="178" t="s">
        <v>39</v>
      </c>
      <c r="C25" s="233" t="s">
        <v>2</v>
      </c>
      <c r="D25" s="536">
        <v>412</v>
      </c>
      <c r="E25" s="523">
        <v>0</v>
      </c>
      <c r="F25" s="179">
        <v>412</v>
      </c>
      <c r="G25" s="339"/>
      <c r="H25" s="352">
        <f>F25</f>
        <v>412</v>
      </c>
      <c r="I25" s="240"/>
      <c r="J25" s="490"/>
      <c r="K25" s="195"/>
      <c r="L25" s="195"/>
      <c r="M25" s="195"/>
      <c r="N25" s="195"/>
      <c r="O25" s="195"/>
      <c r="P25" s="186">
        <v>412</v>
      </c>
      <c r="Q25" s="195"/>
      <c r="R25" s="195"/>
      <c r="S25" s="195"/>
      <c r="T25" s="195"/>
      <c r="U25" s="198"/>
      <c r="V25" s="229">
        <f t="shared" si="2"/>
        <v>412</v>
      </c>
      <c r="W25" s="305">
        <f t="shared" si="3"/>
        <v>0</v>
      </c>
      <c r="X25" s="227"/>
      <c r="Y25" s="175"/>
      <c r="Z25" s="171"/>
      <c r="AA25" s="171"/>
    </row>
    <row r="26" spans="1:27" ht="22.5" customHeight="1" thickBot="1">
      <c r="A26" s="235">
        <f t="shared" si="4"/>
        <v>17</v>
      </c>
      <c r="B26" s="202" t="s">
        <v>40</v>
      </c>
      <c r="C26" s="291" t="s">
        <v>41</v>
      </c>
      <c r="D26" s="529">
        <v>135</v>
      </c>
      <c r="E26" s="530">
        <v>0</v>
      </c>
      <c r="F26" s="328">
        <v>135</v>
      </c>
      <c r="G26" s="683"/>
      <c r="H26" s="349">
        <f>F26-G26</f>
        <v>135</v>
      </c>
      <c r="I26" s="236"/>
      <c r="J26" s="494"/>
      <c r="K26" s="353"/>
      <c r="L26" s="353"/>
      <c r="M26" s="353"/>
      <c r="N26" s="353"/>
      <c r="O26" s="353">
        <v>45</v>
      </c>
      <c r="P26" s="353">
        <v>45</v>
      </c>
      <c r="Q26" s="353">
        <v>45</v>
      </c>
      <c r="R26" s="353"/>
      <c r="S26" s="353"/>
      <c r="T26" s="353"/>
      <c r="U26" s="354"/>
      <c r="V26" s="229">
        <f t="shared" si="2"/>
        <v>135</v>
      </c>
      <c r="W26" s="305">
        <f t="shared" si="3"/>
        <v>0</v>
      </c>
      <c r="X26" s="227"/>
      <c r="Y26" s="175"/>
      <c r="Z26" s="171"/>
      <c r="AA26" s="171"/>
    </row>
    <row r="27" spans="1:27" ht="23.25" customHeight="1" thickBot="1">
      <c r="A27" s="289">
        <f t="shared" si="4"/>
        <v>18</v>
      </c>
      <c r="B27" s="205" t="s">
        <v>42</v>
      </c>
      <c r="C27" s="350" t="s">
        <v>41</v>
      </c>
      <c r="D27" s="531"/>
      <c r="E27" s="521">
        <v>0</v>
      </c>
      <c r="F27" s="688"/>
      <c r="G27" s="689"/>
      <c r="H27" s="355"/>
      <c r="I27" s="351"/>
      <c r="J27" s="493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6"/>
      <c r="V27" s="229">
        <f t="shared" si="2"/>
        <v>0</v>
      </c>
      <c r="W27" s="305">
        <f t="shared" si="3"/>
        <v>0</v>
      </c>
      <c r="X27" s="227"/>
      <c r="Y27" s="175"/>
      <c r="Z27" s="171"/>
      <c r="AA27" s="171"/>
    </row>
    <row r="28" spans="1:27" ht="21" customHeight="1" thickBot="1">
      <c r="A28" s="187">
        <f t="shared" si="4"/>
        <v>19</v>
      </c>
      <c r="B28" s="178" t="s">
        <v>43</v>
      </c>
      <c r="C28" s="233" t="s">
        <v>19</v>
      </c>
      <c r="D28" s="529">
        <v>0.255</v>
      </c>
      <c r="E28" s="530">
        <v>0</v>
      </c>
      <c r="F28" s="356">
        <v>0.235</v>
      </c>
      <c r="G28" s="325"/>
      <c r="H28" s="357">
        <f>F28</f>
        <v>0.235</v>
      </c>
      <c r="I28" s="240"/>
      <c r="J28" s="490"/>
      <c r="K28" s="195"/>
      <c r="L28" s="195"/>
      <c r="M28" s="195"/>
      <c r="N28" s="195"/>
      <c r="O28" s="186">
        <v>0.135</v>
      </c>
      <c r="P28" s="186">
        <v>0.1</v>
      </c>
      <c r="Q28" s="195"/>
      <c r="R28" s="195"/>
      <c r="S28" s="195"/>
      <c r="T28" s="195"/>
      <c r="U28" s="198"/>
      <c r="V28" s="358">
        <f t="shared" si="2"/>
        <v>0.23500000000000001</v>
      </c>
      <c r="W28" s="305">
        <f t="shared" si="3"/>
        <v>0</v>
      </c>
      <c r="X28" s="227"/>
      <c r="Y28" s="175"/>
      <c r="Z28" s="171"/>
      <c r="AA28" s="171"/>
    </row>
    <row r="29" spans="1:27" ht="25.5" customHeight="1" thickBot="1">
      <c r="A29" s="235">
        <f t="shared" si="4"/>
        <v>20</v>
      </c>
      <c r="B29" s="202" t="s">
        <v>44</v>
      </c>
      <c r="C29" s="291" t="s">
        <v>45</v>
      </c>
      <c r="D29" s="536">
        <v>0</v>
      </c>
      <c r="E29" s="523">
        <v>0</v>
      </c>
      <c r="F29" s="359"/>
      <c r="G29" s="360"/>
      <c r="H29" s="361"/>
      <c r="I29" s="362"/>
      <c r="J29" s="495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3"/>
      <c r="V29" s="229">
        <f t="shared" si="2"/>
        <v>0</v>
      </c>
      <c r="W29" s="305">
        <f t="shared" si="3"/>
        <v>0</v>
      </c>
      <c r="X29" s="227"/>
      <c r="Y29" s="175"/>
      <c r="Z29" s="171"/>
      <c r="AA29" s="171"/>
    </row>
    <row r="30" spans="1:27" ht="20.25" customHeight="1" thickBot="1">
      <c r="A30" s="289">
        <f t="shared" si="4"/>
        <v>21</v>
      </c>
      <c r="B30" s="208" t="s">
        <v>46</v>
      </c>
      <c r="C30" s="253" t="s">
        <v>19</v>
      </c>
      <c r="D30" s="537">
        <v>0</v>
      </c>
      <c r="E30" s="538">
        <v>0</v>
      </c>
      <c r="F30" s="363"/>
      <c r="G30" s="364"/>
      <c r="H30" s="365"/>
      <c r="I30" s="254"/>
      <c r="J30" s="496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09"/>
      <c r="V30" s="229">
        <f t="shared" si="2"/>
        <v>0</v>
      </c>
      <c r="W30" s="305">
        <f t="shared" si="3"/>
        <v>0</v>
      </c>
      <c r="X30" s="227"/>
      <c r="Y30" s="175"/>
      <c r="Z30" s="171"/>
      <c r="AA30" s="171"/>
    </row>
    <row r="31" spans="1:27" ht="22.5" customHeight="1" thickBot="1">
      <c r="A31" s="187">
        <f t="shared" si="4"/>
        <v>22</v>
      </c>
      <c r="B31" s="255" t="s">
        <v>47</v>
      </c>
      <c r="C31" s="256" t="s">
        <v>19</v>
      </c>
      <c r="D31" s="536">
        <v>0</v>
      </c>
      <c r="E31" s="523">
        <v>0</v>
      </c>
      <c r="F31" s="366"/>
      <c r="G31" s="367"/>
      <c r="H31" s="368"/>
      <c r="I31" s="259"/>
      <c r="J31" s="49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8"/>
      <c r="V31" s="229">
        <f t="shared" si="2"/>
        <v>0</v>
      </c>
      <c r="W31" s="305">
        <f t="shared" si="3"/>
        <v>0</v>
      </c>
      <c r="X31" s="227"/>
      <c r="Y31" s="175"/>
      <c r="Z31" s="171"/>
      <c r="AA31" s="171"/>
    </row>
    <row r="32" spans="1:27" ht="27" customHeight="1" thickBot="1">
      <c r="A32" s="235">
        <f t="shared" si="4"/>
        <v>23</v>
      </c>
      <c r="B32" s="211" t="s">
        <v>48</v>
      </c>
      <c r="C32" s="260" t="s">
        <v>41</v>
      </c>
      <c r="D32" s="536">
        <v>392</v>
      </c>
      <c r="E32" s="523">
        <v>21</v>
      </c>
      <c r="F32" s="369">
        <v>370.72</v>
      </c>
      <c r="G32" s="370"/>
      <c r="H32" s="338">
        <f>F32-G32</f>
        <v>370.72</v>
      </c>
      <c r="I32" s="371"/>
      <c r="J32" s="498"/>
      <c r="K32" s="213"/>
      <c r="L32" s="213">
        <v>45</v>
      </c>
      <c r="M32" s="213">
        <v>45</v>
      </c>
      <c r="N32" s="213">
        <v>50</v>
      </c>
      <c r="O32" s="213">
        <v>50</v>
      </c>
      <c r="P32" s="213">
        <v>50</v>
      </c>
      <c r="Q32" s="213">
        <v>50</v>
      </c>
      <c r="R32" s="213">
        <v>40.36</v>
      </c>
      <c r="S32" s="213">
        <v>40.36</v>
      </c>
      <c r="T32" s="213"/>
      <c r="U32" s="212"/>
      <c r="V32" s="229">
        <f t="shared" si="2"/>
        <v>370.72</v>
      </c>
      <c r="W32" s="305">
        <f t="shared" si="3"/>
        <v>0</v>
      </c>
      <c r="X32" s="227"/>
      <c r="Y32" s="171"/>
      <c r="Z32" s="171"/>
      <c r="AA32" s="171"/>
    </row>
    <row r="33" spans="1:24" ht="15">
      <c r="A33" s="6"/>
      <c r="B33" s="7"/>
      <c r="C33" s="8"/>
      <c r="D33" s="8"/>
      <c r="E33" s="8"/>
      <c r="F33" s="9"/>
      <c r="G33" s="10"/>
      <c r="H33" s="10"/>
      <c r="I33" s="9"/>
      <c r="J33" s="11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15.75">
      <c r="A34" s="6"/>
      <c r="B34" s="372"/>
      <c r="C34" s="8"/>
      <c r="D34" s="8"/>
      <c r="E34" s="8"/>
      <c r="F34" s="9"/>
      <c r="G34" s="10"/>
      <c r="H34" s="10"/>
      <c r="I34" s="9"/>
      <c r="J34" s="11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5">
      <c r="A35" s="6"/>
      <c r="B35" s="732"/>
      <c r="C35" s="732"/>
      <c r="D35" s="732"/>
      <c r="E35" s="732"/>
      <c r="F35" s="732"/>
      <c r="G35" s="732"/>
      <c r="H35" s="732"/>
      <c r="I35" s="9"/>
      <c r="J35" s="11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ht="15.75">
      <c r="A36" s="6"/>
      <c r="B36" s="372"/>
      <c r="C36" s="8"/>
      <c r="F36" s="9"/>
      <c r="G36" s="10"/>
      <c r="H36" s="9"/>
      <c r="I36" s="9"/>
      <c r="J36" s="11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</sheetData>
  <sheetProtection/>
  <mergeCells count="11">
    <mergeCell ref="I5:J5"/>
    <mergeCell ref="D4:D5"/>
    <mergeCell ref="E4:E5"/>
    <mergeCell ref="B35:H35"/>
    <mergeCell ref="A1:AA2"/>
    <mergeCell ref="A4:A5"/>
    <mergeCell ref="B4:B5"/>
    <mergeCell ref="C4:C5"/>
    <mergeCell ref="F4:G4"/>
    <mergeCell ref="H4:H5"/>
    <mergeCell ref="I4:U4"/>
  </mergeCells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6"/>
  <sheetViews>
    <sheetView zoomScalePageLayoutView="0" workbookViewId="0" topLeftCell="A5">
      <selection activeCell="J32" sqref="J7:J32"/>
    </sheetView>
  </sheetViews>
  <sheetFormatPr defaultColWidth="9.00390625" defaultRowHeight="12.75"/>
  <cols>
    <col min="1" max="1" width="5.625" style="0" customWidth="1"/>
    <col min="2" max="2" width="36.125" style="0" customWidth="1"/>
    <col min="4" max="4" width="19.75390625" style="0" customWidth="1"/>
    <col min="5" max="5" width="17.375" style="0" customWidth="1"/>
    <col min="6" max="6" width="11.375" style="0" hidden="1" customWidth="1"/>
    <col min="7" max="7" width="10.125" style="0" hidden="1" customWidth="1"/>
    <col min="8" max="8" width="10.75390625" style="0" bestFit="1" customWidth="1"/>
    <col min="9" max="9" width="8.625" style="0" customWidth="1"/>
    <col min="10" max="10" width="8.00390625" style="0" customWidth="1"/>
    <col min="11" max="11" width="9.25390625" style="0" bestFit="1" customWidth="1"/>
    <col min="12" max="15" width="9.625" style="0" bestFit="1" customWidth="1"/>
    <col min="16" max="16" width="9.25390625" style="0" bestFit="1" customWidth="1"/>
    <col min="17" max="17" width="8.75390625" style="0" customWidth="1"/>
    <col min="18" max="18" width="10.875" style="0" customWidth="1"/>
    <col min="19" max="20" width="9.25390625" style="0" bestFit="1" customWidth="1"/>
    <col min="21" max="21" width="9.75390625" style="0" customWidth="1"/>
  </cols>
  <sheetData>
    <row r="1" spans="1:27" ht="13.5" customHeight="1">
      <c r="A1" s="755" t="s">
        <v>73</v>
      </c>
      <c r="B1" s="755"/>
      <c r="C1" s="755"/>
      <c r="D1" s="755"/>
      <c r="E1" s="755"/>
      <c r="F1" s="755"/>
      <c r="G1" s="755"/>
      <c r="H1" s="755"/>
      <c r="I1" s="755"/>
      <c r="J1" s="755"/>
      <c r="K1" s="755"/>
      <c r="L1" s="755"/>
      <c r="M1" s="755"/>
      <c r="N1" s="755"/>
      <c r="O1" s="755"/>
      <c r="P1" s="755"/>
      <c r="Q1" s="755"/>
      <c r="R1" s="755"/>
      <c r="S1" s="755"/>
      <c r="T1" s="755"/>
      <c r="U1" s="755"/>
      <c r="V1" s="373"/>
      <c r="W1" s="373"/>
      <c r="X1" s="373"/>
      <c r="Y1" s="373"/>
      <c r="Z1" s="373"/>
      <c r="AA1" s="373"/>
    </row>
    <row r="2" spans="1:27" ht="33" customHeight="1">
      <c r="A2" s="755"/>
      <c r="B2" s="755"/>
      <c r="C2" s="755"/>
      <c r="D2" s="755"/>
      <c r="E2" s="755"/>
      <c r="F2" s="755"/>
      <c r="G2" s="755"/>
      <c r="H2" s="755"/>
      <c r="I2" s="755"/>
      <c r="J2" s="755"/>
      <c r="K2" s="755"/>
      <c r="L2" s="755"/>
      <c r="M2" s="755"/>
      <c r="N2" s="755"/>
      <c r="O2" s="755"/>
      <c r="P2" s="755"/>
      <c r="Q2" s="755"/>
      <c r="R2" s="755"/>
      <c r="S2" s="755"/>
      <c r="T2" s="755"/>
      <c r="U2" s="755"/>
      <c r="V2" s="373"/>
      <c r="W2" s="373"/>
      <c r="X2" s="373"/>
      <c r="Y2" s="373"/>
      <c r="Z2" s="373"/>
      <c r="AA2" s="373"/>
    </row>
    <row r="3" spans="1:27" ht="14.25" customHeight="1" thickBot="1">
      <c r="A3" s="171"/>
      <c r="B3" s="171"/>
      <c r="C3" s="171"/>
      <c r="F3" s="171"/>
      <c r="G3" s="171"/>
      <c r="H3" s="171"/>
      <c r="I3" s="171"/>
      <c r="J3" s="294"/>
      <c r="K3" s="171"/>
      <c r="L3" s="171"/>
      <c r="M3" s="171"/>
      <c r="N3" s="171"/>
      <c r="O3" s="171"/>
      <c r="P3" s="171"/>
      <c r="Q3" s="171"/>
      <c r="R3" s="519" t="s">
        <v>81</v>
      </c>
      <c r="S3" s="171"/>
      <c r="T3" s="520" t="s">
        <v>85</v>
      </c>
      <c r="U3" s="171"/>
      <c r="V3" s="171"/>
      <c r="W3" s="171"/>
      <c r="X3" s="171"/>
      <c r="Y3" s="171"/>
      <c r="Z3" s="171"/>
      <c r="AA3" s="171"/>
    </row>
    <row r="4" spans="1:27" ht="30" customHeight="1" thickBot="1">
      <c r="A4" s="734" t="s">
        <v>6</v>
      </c>
      <c r="B4" s="740" t="s">
        <v>7</v>
      </c>
      <c r="C4" s="740" t="s">
        <v>8</v>
      </c>
      <c r="D4" s="730" t="s">
        <v>83</v>
      </c>
      <c r="E4" s="730" t="s">
        <v>84</v>
      </c>
      <c r="F4" s="740" t="s">
        <v>50</v>
      </c>
      <c r="G4" s="740"/>
      <c r="H4" s="730" t="s">
        <v>82</v>
      </c>
      <c r="I4" s="736" t="s">
        <v>9</v>
      </c>
      <c r="J4" s="736"/>
      <c r="K4" s="736"/>
      <c r="L4" s="736"/>
      <c r="M4" s="736"/>
      <c r="N4" s="736"/>
      <c r="O4" s="736"/>
      <c r="P4" s="736"/>
      <c r="Q4" s="736"/>
      <c r="R4" s="736"/>
      <c r="S4" s="736"/>
      <c r="T4" s="736"/>
      <c r="U4" s="736"/>
      <c r="V4" s="295"/>
      <c r="W4" s="295"/>
      <c r="X4" s="296">
        <f>R12+S12</f>
        <v>29.25</v>
      </c>
      <c r="Y4" s="171"/>
      <c r="Z4" s="171"/>
      <c r="AA4" s="171"/>
    </row>
    <row r="5" spans="1:27" ht="23.25" customHeight="1" thickBot="1">
      <c r="A5" s="734"/>
      <c r="B5" s="740"/>
      <c r="C5" s="740"/>
      <c r="D5" s="731"/>
      <c r="E5" s="731"/>
      <c r="F5" s="220" t="s">
        <v>49</v>
      </c>
      <c r="G5" s="374" t="s">
        <v>10</v>
      </c>
      <c r="H5" s="731"/>
      <c r="I5" s="742" t="s">
        <v>4</v>
      </c>
      <c r="J5" s="743"/>
      <c r="K5" s="176" t="s">
        <v>3</v>
      </c>
      <c r="L5" s="374" t="s">
        <v>0</v>
      </c>
      <c r="M5" s="220" t="s">
        <v>1</v>
      </c>
      <c r="N5" s="374" t="s">
        <v>5</v>
      </c>
      <c r="O5" s="220" t="s">
        <v>11</v>
      </c>
      <c r="P5" s="374" t="s">
        <v>12</v>
      </c>
      <c r="Q5" s="220" t="s">
        <v>13</v>
      </c>
      <c r="R5" s="374" t="s">
        <v>14</v>
      </c>
      <c r="S5" s="220" t="s">
        <v>15</v>
      </c>
      <c r="T5" s="374" t="s">
        <v>16</v>
      </c>
      <c r="U5" s="374" t="s">
        <v>17</v>
      </c>
      <c r="V5" s="218"/>
      <c r="W5" s="218"/>
      <c r="X5" s="218">
        <f>X4/3</f>
        <v>9.75</v>
      </c>
      <c r="Y5" s="175"/>
      <c r="Z5" s="171"/>
      <c r="AA5" s="171"/>
    </row>
    <row r="6" spans="1:27" ht="15" thickBot="1">
      <c r="A6" s="220"/>
      <c r="B6" s="220"/>
      <c r="C6" s="220"/>
      <c r="D6" s="524"/>
      <c r="E6" s="19"/>
      <c r="F6" s="375"/>
      <c r="G6" s="220"/>
      <c r="H6" s="220"/>
      <c r="I6" s="415" t="s">
        <v>49</v>
      </c>
      <c r="J6" s="474" t="s">
        <v>10</v>
      </c>
      <c r="K6" s="376"/>
      <c r="L6" s="377"/>
      <c r="M6" s="376"/>
      <c r="N6" s="377"/>
      <c r="O6" s="376"/>
      <c r="P6" s="377"/>
      <c r="Q6" s="376"/>
      <c r="R6" s="377"/>
      <c r="S6" s="376"/>
      <c r="T6" s="376"/>
      <c r="U6" s="377"/>
      <c r="V6" s="218"/>
      <c r="W6" s="218"/>
      <c r="X6" s="218"/>
      <c r="Y6" s="175"/>
      <c r="Z6" s="171"/>
      <c r="AA6" s="171"/>
    </row>
    <row r="7" spans="1:27" ht="24" customHeight="1" thickBot="1">
      <c r="A7" s="233">
        <v>1</v>
      </c>
      <c r="B7" s="697" t="s">
        <v>62</v>
      </c>
      <c r="C7" s="698" t="s">
        <v>19</v>
      </c>
      <c r="D7" s="706">
        <f>1!D7+2!D7+3!D7+4!D7+5!D7</f>
        <v>4421.4935</v>
      </c>
      <c r="E7" s="706">
        <f>1!E7+2!E7+3!E7+4!E7+5!E7</f>
        <v>1865.4835</v>
      </c>
      <c r="F7" s="706">
        <f>1!F7+2!F7+3!F7+4!F7+5!F7</f>
        <v>3024.164</v>
      </c>
      <c r="G7" s="706">
        <f>1!G7+2!G7+3!G7+4!G7+5!G7</f>
        <v>159.684</v>
      </c>
      <c r="H7" s="706">
        <f>1!H7+2!H7+3!H7+4!H7+5!H7</f>
        <v>2864.48</v>
      </c>
      <c r="I7" s="706">
        <f>1!I7+2!I7+3!I7+4!I7+5!I7</f>
        <v>226.3</v>
      </c>
      <c r="J7" s="727">
        <f>1!J7+2!J7+3!J7+4!J7+5!J7</f>
        <v>223.54999999999995</v>
      </c>
      <c r="K7" s="706">
        <f>1!K7+2!K7+3!K7+4!K7+5!K7</f>
        <v>126.4</v>
      </c>
      <c r="L7" s="706">
        <f>1!L7+2!L7+3!L7+4!L7+5!L7</f>
        <v>200.92999999999998</v>
      </c>
      <c r="M7" s="706">
        <f>1!M7+2!M7+3!M7+4!M7+5!M7</f>
        <v>300.606</v>
      </c>
      <c r="N7" s="706">
        <f>1!N7+2!N7+3!N7+4!N7+5!N7</f>
        <v>351.64</v>
      </c>
      <c r="O7" s="706">
        <f>1!O7+2!O7+3!O7+4!O7+5!O7</f>
        <v>397.92</v>
      </c>
      <c r="P7" s="706">
        <f>1!P7+2!P7+3!P7+4!P7+5!P7</f>
        <v>349.42</v>
      </c>
      <c r="Q7" s="706">
        <f>1!Q7+2!Q7+3!Q7+4!Q7+5!Q7</f>
        <v>366.93</v>
      </c>
      <c r="R7" s="706">
        <f>1!R7+2!R7+3!R7+4!R7+5!R7</f>
        <v>356.39</v>
      </c>
      <c r="S7" s="706">
        <f>1!S7+2!S7+3!S7+4!S7+5!S7</f>
        <v>250.82</v>
      </c>
      <c r="T7" s="706">
        <f>1!T7+2!T7+3!T7+4!T7+5!T7</f>
        <v>0</v>
      </c>
      <c r="U7" s="707">
        <f>1!U7+2!U7+3!U7+4!U7+5!U7</f>
        <v>0</v>
      </c>
      <c r="V7" s="305">
        <f>SUM(I7:U7)</f>
        <v>3150.906</v>
      </c>
      <c r="W7" s="305">
        <f>H7-V7</f>
        <v>-286.42599999999993</v>
      </c>
      <c r="X7" s="227"/>
      <c r="Y7" s="175"/>
      <c r="Z7" s="171"/>
      <c r="AA7" s="171"/>
    </row>
    <row r="8" spans="1:27" ht="21" customHeight="1" thickBot="1">
      <c r="A8" s="376"/>
      <c r="B8" s="247" t="s">
        <v>63</v>
      </c>
      <c r="C8" s="376" t="s">
        <v>19</v>
      </c>
      <c r="D8" s="705">
        <f>1!D8+2!D8+3!D8+4!D8+5!D8</f>
        <v>1604.6045</v>
      </c>
      <c r="E8" s="705">
        <f>1!E8+2!E8+3!E8+4!E8+5!E8</f>
        <v>697.2764999999999</v>
      </c>
      <c r="F8" s="705">
        <f>1!F8+2!F8+3!F8+4!F8+5!F8</f>
        <v>1207.952</v>
      </c>
      <c r="G8" s="705">
        <f>1!G8+2!G8+3!G8+4!G8+5!G8</f>
        <v>91.144</v>
      </c>
      <c r="H8" s="705">
        <f>1!H8+2!H8+3!H8+4!H8+5!H8</f>
        <v>1116.808</v>
      </c>
      <c r="I8" s="705">
        <f>1!I8+2!I8+3!I8+4!I8+5!I8</f>
        <v>133.5</v>
      </c>
      <c r="J8" s="727">
        <f>1!J8+2!J8+3!J8+4!J8+5!J8</f>
        <v>88.08</v>
      </c>
      <c r="K8" s="705">
        <f>1!K8+2!K8+3!K8+4!K8+5!K8</f>
        <v>75</v>
      </c>
      <c r="L8" s="705">
        <f>1!L8+2!L8+3!L8+4!L8+5!L8</f>
        <v>67.13</v>
      </c>
      <c r="M8" s="705">
        <f>1!M8+2!M8+3!M8+4!M8+5!M8</f>
        <v>124.80600000000001</v>
      </c>
      <c r="N8" s="705">
        <f>1!N8+2!N8+3!N8+4!N8+5!N8</f>
        <v>131.096</v>
      </c>
      <c r="O8" s="705">
        <f>1!O8+2!O8+3!O8+4!O8+5!O8</f>
        <v>135.656</v>
      </c>
      <c r="P8" s="705">
        <f>1!P8+2!P8+3!P8+4!P8+5!P8</f>
        <v>146.463</v>
      </c>
      <c r="Q8" s="705">
        <f>1!Q8+2!Q8+3!Q8+4!Q8+5!Q8</f>
        <v>179.59599999999998</v>
      </c>
      <c r="R8" s="705">
        <f>1!R8+2!R8+3!R8+4!R8+5!R8</f>
        <v>194.06799999999998</v>
      </c>
      <c r="S8" s="705">
        <f>1!S8+2!S8+3!S8+4!S8+5!S8</f>
        <v>141.465</v>
      </c>
      <c r="T8" s="705">
        <f>1!T8+2!T8+3!T8+4!T8+5!T8</f>
        <v>0</v>
      </c>
      <c r="U8" s="708">
        <f>1!U8+2!U8+3!U8+4!U8+5!U8</f>
        <v>0</v>
      </c>
      <c r="V8" s="229">
        <f aca="true" t="shared" si="0" ref="V8:V32">SUM(I8:U8)</f>
        <v>1416.86</v>
      </c>
      <c r="W8" s="305">
        <f aca="true" t="shared" si="1" ref="W8:W32">H8-V8</f>
        <v>-300.0519999999999</v>
      </c>
      <c r="X8" s="227"/>
      <c r="Y8" s="175"/>
      <c r="Z8" s="171"/>
      <c r="AA8" s="171"/>
    </row>
    <row r="9" spans="1:27" ht="24" customHeight="1" thickBot="1">
      <c r="A9" s="376"/>
      <c r="B9" s="247" t="s">
        <v>64</v>
      </c>
      <c r="C9" s="376" t="s">
        <v>19</v>
      </c>
      <c r="D9" s="705">
        <f>1!D9+2!D9+3!D9+4!D9+5!D9</f>
        <v>2133.2884999999997</v>
      </c>
      <c r="E9" s="705">
        <f>1!E9+2!E9+3!E9+4!E9+5!E9</f>
        <v>777.3795</v>
      </c>
      <c r="F9" s="705">
        <f>1!F9+2!F9+3!F9+4!F9+5!F9</f>
        <v>1465.4900000000002</v>
      </c>
      <c r="G9" s="705">
        <f>1!G9+2!G9+3!G9+4!G9+5!G9</f>
        <v>35.74</v>
      </c>
      <c r="H9" s="705">
        <f>1!H9+2!H9+3!H9+4!H9+5!H9</f>
        <v>1429.75</v>
      </c>
      <c r="I9" s="705">
        <f>1!I9+2!I9+3!I9+4!I9+5!I9</f>
        <v>89</v>
      </c>
      <c r="J9" s="727">
        <f>1!J9+2!J9+3!J9+4!J9+5!J9</f>
        <v>132.282</v>
      </c>
      <c r="K9" s="705">
        <f>1!K9+2!K9+3!K9+4!K9+5!K9</f>
        <v>44.5</v>
      </c>
      <c r="L9" s="705">
        <f>1!L9+2!L9+3!L9+4!L9+5!L9</f>
        <v>124.88</v>
      </c>
      <c r="M9" s="705">
        <f>1!M9+2!M9+3!M9+4!M9+5!M9</f>
        <v>115.64</v>
      </c>
      <c r="N9" s="705">
        <f>1!N9+2!N9+3!N9+4!N9+5!N9</f>
        <v>138.13</v>
      </c>
      <c r="O9" s="705">
        <f>1!O9+2!O9+3!O9+4!O9+5!O9</f>
        <v>194.09000000000003</v>
      </c>
      <c r="P9" s="705">
        <f>1!P9+2!P9+3!P9+4!P9+5!P9</f>
        <v>163.37</v>
      </c>
      <c r="Q9" s="705">
        <f>1!Q9+2!Q9+3!Q9+4!Q9+5!Q9</f>
        <v>143.97</v>
      </c>
      <c r="R9" s="705">
        <f>1!R9+2!R9+3!R9+4!R9+5!R9</f>
        <v>127.21</v>
      </c>
      <c r="S9" s="705">
        <f>1!S9+2!S9+3!S9+4!S9+5!S9</f>
        <v>79.2</v>
      </c>
      <c r="T9" s="705">
        <f>1!T9+2!T9+3!T9+4!T9+5!T9</f>
        <v>0</v>
      </c>
      <c r="U9" s="708">
        <f>1!U9+2!U9+3!U9+4!U9+5!U9</f>
        <v>0</v>
      </c>
      <c r="V9" s="229">
        <f t="shared" si="0"/>
        <v>1352.2720000000002</v>
      </c>
      <c r="W9" s="305">
        <f t="shared" si="1"/>
        <v>77.47799999999984</v>
      </c>
      <c r="X9" s="227"/>
      <c r="Y9" s="175"/>
      <c r="Z9" s="171"/>
      <c r="AA9" s="171"/>
    </row>
    <row r="10" spans="1:27" ht="24" customHeight="1" thickBot="1">
      <c r="A10" s="376"/>
      <c r="B10" s="247" t="s">
        <v>65</v>
      </c>
      <c r="C10" s="376" t="s">
        <v>19</v>
      </c>
      <c r="D10" s="705">
        <f>1!D10+2!D10+3!D10+4!D10+5!D10</f>
        <v>729.7605</v>
      </c>
      <c r="E10" s="705">
        <f>1!E10+2!E10+3!E10+4!E10+5!E10</f>
        <v>334.7975</v>
      </c>
      <c r="F10" s="705">
        <f>1!F10+2!F10+3!F10+4!F10+5!F10</f>
        <v>350.72200000000004</v>
      </c>
      <c r="G10" s="705">
        <f>1!G10+2!G10+3!G10+4!G10+5!G10</f>
        <v>33.7</v>
      </c>
      <c r="H10" s="705">
        <f>1!H10+2!H10+3!H10+4!H10+5!H10</f>
        <v>317.022</v>
      </c>
      <c r="I10" s="705">
        <f>1!I10+2!I10+3!I10+4!I10+5!I10</f>
        <v>3.8</v>
      </c>
      <c r="J10" s="727">
        <f>1!J10+2!J10+3!J10+4!J10+5!J10</f>
        <v>4.609999999999999</v>
      </c>
      <c r="K10" s="705">
        <f>1!K10+2!K10+3!K10+4!K10+5!K10</f>
        <v>6.9</v>
      </c>
      <c r="L10" s="705">
        <f>1!L10+2!L10+3!L10+4!L10+5!L10</f>
        <v>8.92</v>
      </c>
      <c r="M10" s="705">
        <f>1!M10+2!M10+3!M10+4!M10+5!M10</f>
        <v>60.16</v>
      </c>
      <c r="N10" s="705">
        <f>1!N10+2!N10+3!N10+4!N10+5!N10</f>
        <v>82.414</v>
      </c>
      <c r="O10" s="705">
        <f>1!O10+2!O10+3!O10+4!O10+5!O10</f>
        <v>68.17399999999999</v>
      </c>
      <c r="P10" s="705">
        <f>1!P10+2!P10+3!P10+4!P10+5!P10</f>
        <v>39.587</v>
      </c>
      <c r="Q10" s="705">
        <f>1!Q10+2!Q10+3!Q10+4!Q10+5!Q10</f>
        <v>43.364000000000004</v>
      </c>
      <c r="R10" s="705">
        <f>1!R10+2!R10+3!R10+4!R10+5!R10</f>
        <v>35.111999999999995</v>
      </c>
      <c r="S10" s="705">
        <f>1!S10+2!S10+3!S10+4!S10+5!S10</f>
        <v>30.155</v>
      </c>
      <c r="T10" s="705">
        <f>1!T10+2!T10+3!T10+4!T10+5!T10</f>
        <v>0</v>
      </c>
      <c r="U10" s="708">
        <f>1!U10+2!U10+3!U10+4!U10+5!U10</f>
        <v>0</v>
      </c>
      <c r="V10" s="229">
        <f t="shared" si="0"/>
        <v>383.1959999999999</v>
      </c>
      <c r="W10" s="305">
        <f t="shared" si="1"/>
        <v>-66.17399999999992</v>
      </c>
      <c r="X10" s="227"/>
      <c r="Y10" s="175"/>
      <c r="Z10" s="171"/>
      <c r="AA10" s="171"/>
    </row>
    <row r="11" spans="1:27" ht="22.5" customHeight="1" thickBot="1">
      <c r="A11" s="220">
        <v>2</v>
      </c>
      <c r="B11" s="247" t="s">
        <v>23</v>
      </c>
      <c r="C11" s="220" t="s">
        <v>19</v>
      </c>
      <c r="D11" s="705">
        <f>1!D11+2!D11+3!D11+4!D11+5!D11</f>
        <v>349.88599999999997</v>
      </c>
      <c r="E11" s="705">
        <f>1!E11+2!E11+3!E11+4!E11+5!E11</f>
        <v>168.94</v>
      </c>
      <c r="F11" s="705">
        <f>1!F11+2!F11+3!F11+4!F11+5!F11</f>
        <v>13.48</v>
      </c>
      <c r="G11" s="705">
        <f>1!G11+2!G11+3!G11+4!G11+5!G11</f>
        <v>0</v>
      </c>
      <c r="H11" s="705">
        <f>1!H11+2!H11+3!H11+4!H11+5!H11</f>
        <v>13.48</v>
      </c>
      <c r="I11" s="705">
        <f>1!I11+2!I11+3!I11+4!I11+5!I11</f>
        <v>0</v>
      </c>
      <c r="J11" s="727">
        <f>1!J11+2!J11+3!J11+4!J11+5!J11</f>
        <v>0</v>
      </c>
      <c r="K11" s="705">
        <f>1!K11+2!K11+3!K11+4!K11+5!K11</f>
        <v>0</v>
      </c>
      <c r="L11" s="705">
        <f>1!L11+2!L11+3!L11+4!L11+5!L11</f>
        <v>5</v>
      </c>
      <c r="M11" s="705">
        <f>1!M11+2!M11+3!M11+4!M11+5!M11</f>
        <v>5</v>
      </c>
      <c r="N11" s="705">
        <f>1!N11+2!N11+3!N11+4!N11+5!N11</f>
        <v>3.48</v>
      </c>
      <c r="O11" s="705">
        <f>1!O11+2!O11+3!O11+4!O11+5!O11</f>
        <v>0</v>
      </c>
      <c r="P11" s="705">
        <f>1!P11+2!P11+3!P11+4!P11+5!P11</f>
        <v>0</v>
      </c>
      <c r="Q11" s="705">
        <f>1!Q11+2!Q11+3!Q11+4!Q11+5!Q11</f>
        <v>0</v>
      </c>
      <c r="R11" s="705">
        <f>1!R11+2!R11+3!R11+4!R11+5!R11</f>
        <v>0</v>
      </c>
      <c r="S11" s="705">
        <f>1!S11+2!S11+3!S11+4!S11+5!S11</f>
        <v>0</v>
      </c>
      <c r="T11" s="705">
        <f>1!T11+2!T11+3!T11+4!T11+5!T11</f>
        <v>0</v>
      </c>
      <c r="U11" s="708">
        <f>1!U11+2!U11+3!U11+4!U11+5!U11</f>
        <v>0</v>
      </c>
      <c r="V11" s="229">
        <f t="shared" si="0"/>
        <v>13.48</v>
      </c>
      <c r="W11" s="305">
        <f t="shared" si="1"/>
        <v>0</v>
      </c>
      <c r="X11" s="227"/>
      <c r="Y11" s="175"/>
      <c r="Z11" s="171"/>
      <c r="AA11" s="171"/>
    </row>
    <row r="12" spans="1:27" ht="22.5" customHeight="1" thickBot="1">
      <c r="A12" s="233">
        <v>3</v>
      </c>
      <c r="B12" s="697" t="s">
        <v>66</v>
      </c>
      <c r="C12" s="698" t="s">
        <v>19</v>
      </c>
      <c r="D12" s="706">
        <f>1!D12+2!D12+3!D12+4!D12+5!D12</f>
        <v>3297.67</v>
      </c>
      <c r="E12" s="706">
        <f>1!E12+2!E12+3!E12+4!E12+5!E12</f>
        <v>1716.92</v>
      </c>
      <c r="F12" s="706">
        <f>1!F12+2!F12+3!F12+4!F12+5!F12</f>
        <v>1449.1</v>
      </c>
      <c r="G12" s="706">
        <f>1!G12+2!G12+3!G12+4!G12+5!G12</f>
        <v>125.6</v>
      </c>
      <c r="H12" s="706">
        <f>1!H12+2!H12+3!H12+4!H12+5!H12</f>
        <v>1323.5</v>
      </c>
      <c r="I12" s="706">
        <f>1!I12+2!I12+3!I12+4!I12+5!I12</f>
        <v>116</v>
      </c>
      <c r="J12" s="727">
        <f>1!J12+2!J12+3!J12+4!J12+5!J12</f>
        <v>34.040000000000006</v>
      </c>
      <c r="K12" s="706">
        <f>1!K12+2!K12+3!K12+4!K12+5!K12</f>
        <v>14</v>
      </c>
      <c r="L12" s="706">
        <f>1!L12+2!L12+3!L12+4!L12+5!L12</f>
        <v>78</v>
      </c>
      <c r="M12" s="706">
        <f>1!M12+2!M12+3!M12+4!M12+5!M12</f>
        <v>87</v>
      </c>
      <c r="N12" s="706">
        <f>1!N12+2!N12+3!N12+4!N12+5!N12</f>
        <v>47</v>
      </c>
      <c r="O12" s="706">
        <f>1!O12+2!O12+3!O12+4!O12+5!O12</f>
        <v>106</v>
      </c>
      <c r="P12" s="706">
        <f>1!P12+2!P12+3!P12+4!P12+5!P12</f>
        <v>72.6</v>
      </c>
      <c r="Q12" s="706">
        <f>1!Q12+2!Q12+3!Q12+4!Q12+5!Q12</f>
        <v>128.02</v>
      </c>
      <c r="R12" s="706">
        <f>1!R12+2!R12+3!R12+4!R12+5!R12</f>
        <v>29.25</v>
      </c>
      <c r="S12" s="706">
        <f>1!S12+2!S12+3!S12+4!S12+5!S12</f>
        <v>0</v>
      </c>
      <c r="T12" s="706">
        <f>1!T12+2!T12+3!T12+4!T12+5!T12</f>
        <v>0</v>
      </c>
      <c r="U12" s="707">
        <f>1!U12+2!U12+3!U12+4!U12+5!U12</f>
        <v>0</v>
      </c>
      <c r="V12" s="229">
        <f>SUM(I12:U12)</f>
        <v>711.91</v>
      </c>
      <c r="W12" s="305">
        <f t="shared" si="1"/>
        <v>611.59</v>
      </c>
      <c r="X12" s="227"/>
      <c r="Y12" s="175"/>
      <c r="Z12" s="171"/>
      <c r="AA12" s="171"/>
    </row>
    <row r="13" spans="1:27" ht="20.25" customHeight="1" thickBot="1">
      <c r="A13" s="241">
        <f>1+A12</f>
        <v>4</v>
      </c>
      <c r="B13" s="188" t="s">
        <v>25</v>
      </c>
      <c r="C13" s="241" t="s">
        <v>19</v>
      </c>
      <c r="D13" s="705">
        <f>1!D13+2!D13+3!D13+4!D13+5!D13</f>
        <v>61.18</v>
      </c>
      <c r="E13" s="705">
        <f>1!E13+2!E13+3!E13+4!E13+5!E13</f>
        <v>18.19</v>
      </c>
      <c r="F13" s="705">
        <f>1!F13+2!F13+3!F13+4!F13+5!F13</f>
        <v>41.944599999999994</v>
      </c>
      <c r="G13" s="705">
        <f>1!G13+2!G13+3!G13+4!G13+5!G13</f>
        <v>0.25</v>
      </c>
      <c r="H13" s="705">
        <f>1!H13+2!H13+3!H13+4!H13+5!H13</f>
        <v>41.694599999999994</v>
      </c>
      <c r="I13" s="705">
        <f>1!I13+2!I13+3!I13+4!I13+5!I13</f>
        <v>0.7</v>
      </c>
      <c r="J13" s="727">
        <f>1!J13+2!J13+3!J13+4!J13+5!J13</f>
        <v>0</v>
      </c>
      <c r="K13" s="705">
        <f>1!K13+2!K13+3!K13+4!K13+5!K13</f>
        <v>0.7</v>
      </c>
      <c r="L13" s="705">
        <f>1!L13+2!L13+3!L13+4!L13+5!L13</f>
        <v>0.8999999999999999</v>
      </c>
      <c r="M13" s="705">
        <f>1!M13+2!M13+3!M13+4!M13+5!M13</f>
        <v>1.25</v>
      </c>
      <c r="N13" s="705">
        <f>1!N13+2!N13+3!N13+4!N13+5!N13</f>
        <v>10.25</v>
      </c>
      <c r="O13" s="705">
        <f>1!O13+2!O13+3!O13+4!O13+5!O13</f>
        <v>15.074</v>
      </c>
      <c r="P13" s="705">
        <f>1!P13+2!P13+3!P13+4!P13+5!P13</f>
        <v>5</v>
      </c>
      <c r="Q13" s="705">
        <f>1!Q13+2!Q13+3!Q13+4!Q13+5!Q13</f>
        <v>3.38</v>
      </c>
      <c r="R13" s="705">
        <f>1!R13+2!R13+3!R13+4!R13+5!R13</f>
        <v>2</v>
      </c>
      <c r="S13" s="705">
        <f>1!S13+2!S13+3!S13+4!S13+5!S13</f>
        <v>2.441</v>
      </c>
      <c r="T13" s="705">
        <f>1!T13+2!T13+3!T13+4!T13+5!T13</f>
        <v>0</v>
      </c>
      <c r="U13" s="708">
        <f>1!U13+2!U13+3!U13+4!U13+5!U13</f>
        <v>0</v>
      </c>
      <c r="V13" s="229">
        <f t="shared" si="0"/>
        <v>41.69500000000001</v>
      </c>
      <c r="W13" s="305">
        <f t="shared" si="1"/>
        <v>-0.0004000000000132786</v>
      </c>
      <c r="X13" s="227"/>
      <c r="Y13" s="175"/>
      <c r="Z13" s="171"/>
      <c r="AA13" s="171"/>
    </row>
    <row r="14" spans="1:27" ht="19.5" customHeight="1" thickBot="1">
      <c r="A14" s="241">
        <f aca="true" t="shared" si="2" ref="A14:A32">1+A13</f>
        <v>5</v>
      </c>
      <c r="B14" s="697" t="s">
        <v>67</v>
      </c>
      <c r="C14" s="698" t="s">
        <v>19</v>
      </c>
      <c r="D14" s="706">
        <f>1!D14+2!D14+3!D14+4!D14+5!D14</f>
        <v>116.23999999999998</v>
      </c>
      <c r="E14" s="706">
        <f>1!E14+2!E14+3!E14+4!E14+5!E14</f>
        <v>47.64</v>
      </c>
      <c r="F14" s="706">
        <f>1!F14+2!F14+3!F14+4!F14+5!F14</f>
        <v>69.41</v>
      </c>
      <c r="G14" s="706">
        <f>1!G14+2!G14+3!G14+4!G14+5!G14</f>
        <v>3.4899999999999998</v>
      </c>
      <c r="H14" s="706">
        <f>1!H14+2!H14+3!H14+4!H14+5!H14</f>
        <v>65.91</v>
      </c>
      <c r="I14" s="706">
        <f>1!I14+2!I14+3!I14+4!I14+5!I14</f>
        <v>0</v>
      </c>
      <c r="J14" s="727">
        <f>1!J14+2!J14+3!J14+4!J14+5!J14</f>
        <v>0.9</v>
      </c>
      <c r="K14" s="706">
        <f>1!K14+2!K14+3!K14+4!K14+5!K14</f>
        <v>1.5</v>
      </c>
      <c r="L14" s="706">
        <f>1!L14+2!L14+3!L14+4!L14+5!L14</f>
        <v>3.67</v>
      </c>
      <c r="M14" s="706">
        <f>1!M14+2!M14+3!M14+4!M14+5!M14</f>
        <v>4.26</v>
      </c>
      <c r="N14" s="706">
        <f>1!N14+2!N14+3!N14+4!N14+5!N14</f>
        <v>6.79</v>
      </c>
      <c r="O14" s="706">
        <f>1!O14+2!O14+3!O14+4!O14+5!O14</f>
        <v>9.96</v>
      </c>
      <c r="P14" s="706">
        <f>1!P14+2!P14+3!P14+4!P14+5!P14</f>
        <v>11.48</v>
      </c>
      <c r="Q14" s="706">
        <f>1!Q14+2!Q14+3!Q14+4!Q14+5!Q14</f>
        <v>11.75</v>
      </c>
      <c r="R14" s="706">
        <f>1!R14+2!R14+3!R14+4!R14+5!R14</f>
        <v>11.67</v>
      </c>
      <c r="S14" s="706">
        <f>1!S14+2!S14+3!S14+4!S14+5!S14</f>
        <v>6.88</v>
      </c>
      <c r="T14" s="706">
        <f>1!T14+2!T14+3!T14+4!T14+5!T14</f>
        <v>0</v>
      </c>
      <c r="U14" s="707">
        <f>1!U14+2!U14+3!U14+4!U14+5!U14</f>
        <v>0</v>
      </c>
      <c r="V14" s="229">
        <f t="shared" si="0"/>
        <v>68.86</v>
      </c>
      <c r="W14" s="305">
        <f t="shared" si="1"/>
        <v>-2.950000000000003</v>
      </c>
      <c r="X14" s="227"/>
      <c r="Y14" s="175"/>
      <c r="Z14" s="171"/>
      <c r="AA14" s="171"/>
    </row>
    <row r="15" spans="1:27" ht="22.5" customHeight="1" thickBot="1">
      <c r="A15" s="241">
        <f t="shared" si="2"/>
        <v>6</v>
      </c>
      <c r="B15" s="188" t="s">
        <v>27</v>
      </c>
      <c r="C15" s="241" t="s">
        <v>19</v>
      </c>
      <c r="D15" s="705">
        <f>1!D15+2!D15+3!D15+4!D15+5!D15</f>
        <v>7.6899999999999995</v>
      </c>
      <c r="E15" s="705">
        <f>1!E15+2!E15+3!E15+4!E15+5!E15</f>
        <v>1.68</v>
      </c>
      <c r="F15" s="705">
        <f>1!F15+2!F15+3!F15+4!F15+5!F15</f>
        <v>5.6129999999999995</v>
      </c>
      <c r="G15" s="705">
        <f>1!G15+2!G15+3!G15+4!G15+5!G15</f>
        <v>0.15</v>
      </c>
      <c r="H15" s="705">
        <f>1!H15+2!H15+3!H15+4!H15+5!H15</f>
        <v>5.513</v>
      </c>
      <c r="I15" s="705">
        <f>1!I15+2!I15+3!I15+4!I15+5!I15</f>
        <v>0.02</v>
      </c>
      <c r="J15" s="727">
        <f>1!J15+2!J15+3!J15+4!J15+5!J15</f>
        <v>0.035</v>
      </c>
      <c r="K15" s="705">
        <f>1!K15+2!K15+3!K15+4!K15+5!K15</f>
        <v>0.02</v>
      </c>
      <c r="L15" s="705">
        <f>1!L15+2!L15+3!L15+4!L15+5!L15</f>
        <v>1.22</v>
      </c>
      <c r="M15" s="705">
        <f>1!M15+2!M15+3!M15+4!M15+5!M15</f>
        <v>1.23</v>
      </c>
      <c r="N15" s="705">
        <f>1!N15+2!N15+3!N15+4!N15+5!N15</f>
        <v>1.093</v>
      </c>
      <c r="O15" s="705">
        <f>1!O15+2!O15+3!O15+4!O15+5!O15</f>
        <v>0.32999999999999996</v>
      </c>
      <c r="P15" s="705">
        <f>1!P15+2!P15+3!P15+4!P15+5!P15</f>
        <v>1.55</v>
      </c>
      <c r="Q15" s="705">
        <f>1!Q15+2!Q15+3!Q15+4!Q15+5!Q15</f>
        <v>0</v>
      </c>
      <c r="R15" s="705">
        <f>1!R15+2!R15+3!R15+4!R15+5!R15</f>
        <v>0</v>
      </c>
      <c r="S15" s="705">
        <f>1!S15+2!S15+3!S15+4!S15+5!S15</f>
        <v>0</v>
      </c>
      <c r="T15" s="705">
        <f>1!T15+2!T15+3!T15+4!T15+5!T15</f>
        <v>0</v>
      </c>
      <c r="U15" s="708">
        <f>1!U15+2!U15+3!U15+4!U15+5!U15</f>
        <v>0</v>
      </c>
      <c r="V15" s="229">
        <f t="shared" si="0"/>
        <v>5.498</v>
      </c>
      <c r="W15" s="305">
        <f t="shared" si="1"/>
        <v>0.01499999999999968</v>
      </c>
      <c r="X15" s="227"/>
      <c r="Y15" s="175"/>
      <c r="Z15" s="171"/>
      <c r="AA15" s="171"/>
    </row>
    <row r="16" spans="1:27" ht="20.25" customHeight="1" thickBot="1">
      <c r="A16" s="699">
        <f t="shared" si="2"/>
        <v>7</v>
      </c>
      <c r="B16" s="697" t="s">
        <v>28</v>
      </c>
      <c r="C16" s="698" t="s">
        <v>29</v>
      </c>
      <c r="D16" s="706">
        <f>1!D16+2!D16+3!D16+4!D16+5!D16</f>
        <v>6.936</v>
      </c>
      <c r="E16" s="706">
        <f>1!E16+2!E16+3!E16+4!E16+5!E16</f>
        <v>4.536</v>
      </c>
      <c r="F16" s="706">
        <f>1!F16+2!F16+3!F16+4!F16+5!F16</f>
        <v>1.2189999999999999</v>
      </c>
      <c r="G16" s="706">
        <f>1!G16+2!G16+3!G16+4!G16+5!G16</f>
        <v>0.139</v>
      </c>
      <c r="H16" s="706">
        <f>1!H16+2!H16+3!H16+4!H16+5!H16</f>
        <v>0.53</v>
      </c>
      <c r="I16" s="706">
        <f>1!I16+2!I16+3!I16+4!I16+5!I16</f>
        <v>0.3</v>
      </c>
      <c r="J16" s="727">
        <f>1!J16+2!J16+3!J16+4!J16+5!J16</f>
        <v>0</v>
      </c>
      <c r="K16" s="706">
        <f>1!K16+2!K16+3!K16+4!K16+5!K16</f>
        <v>0.3</v>
      </c>
      <c r="L16" s="706">
        <f>1!L16+2!L16+3!L16+4!L16+5!L16</f>
        <v>0.38</v>
      </c>
      <c r="M16" s="706">
        <f>1!M16+2!M16+3!M16+4!M16+5!M16</f>
        <v>0.1</v>
      </c>
      <c r="N16" s="706">
        <f>1!N16+2!N16+3!N16+4!N16+5!N16</f>
        <v>0</v>
      </c>
      <c r="O16" s="706">
        <f>1!O16+2!O16+3!O16+4!O16+5!O16</f>
        <v>0</v>
      </c>
      <c r="P16" s="706">
        <f>1!P16+2!P16+3!P16+4!P16+5!P16</f>
        <v>0</v>
      </c>
      <c r="Q16" s="706">
        <f>1!Q16+2!Q16+3!Q16+4!Q16+5!Q16</f>
        <v>0</v>
      </c>
      <c r="R16" s="706">
        <f>1!R16+2!R16+3!R16+4!R16+5!R16</f>
        <v>0</v>
      </c>
      <c r="S16" s="706">
        <f>1!S16+2!S16+3!S16+4!S16+5!S16</f>
        <v>0</v>
      </c>
      <c r="T16" s="706">
        <f>1!T16+2!T16+3!T16+4!T16+5!T16</f>
        <v>0</v>
      </c>
      <c r="U16" s="707">
        <f>1!U16+2!U16+3!U16+4!U16+5!U16</f>
        <v>0</v>
      </c>
      <c r="V16" s="229">
        <f t="shared" si="0"/>
        <v>1.08</v>
      </c>
      <c r="W16" s="305">
        <f t="shared" si="1"/>
        <v>-0.55</v>
      </c>
      <c r="X16" s="227"/>
      <c r="Y16" s="175"/>
      <c r="Z16" s="171"/>
      <c r="AA16" s="171"/>
    </row>
    <row r="17" spans="1:27" ht="21.75" customHeight="1" thickBot="1">
      <c r="A17" s="241">
        <f t="shared" si="2"/>
        <v>8</v>
      </c>
      <c r="B17" s="188" t="s">
        <v>30</v>
      </c>
      <c r="C17" s="241" t="s">
        <v>31</v>
      </c>
      <c r="D17" s="705">
        <f>1!D17+2!D17+3!D17+4!D17+5!D17</f>
        <v>2174.111</v>
      </c>
      <c r="E17" s="705">
        <f>1!E17+2!E17+3!E17+4!E17+5!E17</f>
        <v>952.21</v>
      </c>
      <c r="F17" s="705">
        <f>1!F17+2!F17+3!F17+4!F17+5!F17</f>
        <v>1063.4789999999998</v>
      </c>
      <c r="G17" s="705">
        <f>1!G17+2!G17+3!G17+4!G17+5!G17</f>
        <v>38</v>
      </c>
      <c r="H17" s="705">
        <f>1!H17+2!H17+3!H17+4!H17+5!H17</f>
        <v>1025.4789999999998</v>
      </c>
      <c r="I17" s="705">
        <f>1!I17+2!I17+3!I17+4!I17+5!I17</f>
        <v>300.4475</v>
      </c>
      <c r="J17" s="727">
        <f>1!J17+2!J17+3!J17+4!J17+5!J17</f>
        <v>0.04</v>
      </c>
      <c r="K17" s="705">
        <f>1!K17+2!K17+3!K17+4!K17+5!K17</f>
        <v>121.45</v>
      </c>
      <c r="L17" s="705">
        <f>1!L17+2!L17+3!L17+4!L17+5!L17</f>
        <v>242.45</v>
      </c>
      <c r="M17" s="705">
        <f>1!M17+2!M17+3!M17+4!M17+5!M17</f>
        <v>133.442</v>
      </c>
      <c r="N17" s="705">
        <f>1!N17+2!N17+3!N17+4!N17+5!N17</f>
        <v>184.473</v>
      </c>
      <c r="O17" s="705">
        <f>1!O17+2!O17+3!O17+4!O17+5!O17</f>
        <v>12</v>
      </c>
      <c r="P17" s="705">
        <f>1!P17+2!P17+3!P17+4!P17+5!P17</f>
        <v>12</v>
      </c>
      <c r="Q17" s="705">
        <f>1!Q17+2!Q17+3!Q17+4!Q17+5!Q17</f>
        <v>12</v>
      </c>
      <c r="R17" s="705">
        <f>1!R17+2!R17+3!R17+4!R17+5!R17</f>
        <v>7.22</v>
      </c>
      <c r="S17" s="705">
        <f>1!S17+2!S17+3!S17+4!S17+5!S17</f>
        <v>0</v>
      </c>
      <c r="T17" s="705">
        <f>1!T17+2!T17+3!T17+4!T17+5!T17</f>
        <v>0</v>
      </c>
      <c r="U17" s="708">
        <f>1!U17+2!U17+3!U17+4!U17+5!U17</f>
        <v>0</v>
      </c>
      <c r="V17" s="229">
        <f t="shared" si="0"/>
        <v>1025.5225</v>
      </c>
      <c r="W17" s="305">
        <f t="shared" si="1"/>
        <v>-0.04350000000022192</v>
      </c>
      <c r="X17" s="227"/>
      <c r="Y17" s="175"/>
      <c r="Z17" s="171"/>
      <c r="AA17" s="171"/>
    </row>
    <row r="18" spans="1:27" ht="21.75" customHeight="1" thickBot="1">
      <c r="A18" s="241">
        <f t="shared" si="2"/>
        <v>9</v>
      </c>
      <c r="B18" s="188" t="s">
        <v>75</v>
      </c>
      <c r="C18" s="241" t="s">
        <v>31</v>
      </c>
      <c r="D18" s="705">
        <f>1!D18+2!D18+3!D18+4!D18+5!D18</f>
        <v>31.22</v>
      </c>
      <c r="E18" s="705">
        <f>1!E18+2!E18+3!E18+4!E18+5!E18</f>
        <v>0</v>
      </c>
      <c r="F18" s="705">
        <f>1!F18+2!F18+3!F18+4!F18+5!F18</f>
        <v>0</v>
      </c>
      <c r="G18" s="705">
        <f>1!G18+2!G18+3!G18+4!G18+5!G18</f>
        <v>0</v>
      </c>
      <c r="H18" s="705">
        <f>1!H18+2!H18+3!H18+4!H18+5!H18</f>
        <v>0</v>
      </c>
      <c r="I18" s="705">
        <f>1!I18+2!I18+3!I18+4!I18+5!I18</f>
        <v>0</v>
      </c>
      <c r="J18" s="727">
        <f>1!J18+2!J18+3!J18+4!J18+5!J18</f>
        <v>0</v>
      </c>
      <c r="K18" s="705">
        <f>1!K18+2!K18+3!K18+4!K18+5!K18</f>
        <v>0</v>
      </c>
      <c r="L18" s="705">
        <f>1!L18+2!L18+3!L18+4!L18+5!L18</f>
        <v>0</v>
      </c>
      <c r="M18" s="705">
        <f>1!M18+2!M18+3!M18+4!M18+5!M18</f>
        <v>0</v>
      </c>
      <c r="N18" s="705">
        <f>1!N18+2!N18+3!N18+4!N18+5!N18</f>
        <v>0</v>
      </c>
      <c r="O18" s="705">
        <f>1!O18+2!O18+3!O18+4!O18+5!O18</f>
        <v>30.57</v>
      </c>
      <c r="P18" s="705">
        <f>1!P18+2!P18+3!P18+4!P18+5!P18</f>
        <v>0</v>
      </c>
      <c r="Q18" s="705">
        <f>1!Q18+2!Q18+3!Q18+4!Q18+5!Q18</f>
        <v>0</v>
      </c>
      <c r="R18" s="705">
        <f>1!R18+2!R18+3!R18+4!R18+5!R18</f>
        <v>0</v>
      </c>
      <c r="S18" s="705">
        <f>1!S18+2!S18+3!S18+4!S18+5!S18</f>
        <v>0</v>
      </c>
      <c r="T18" s="705">
        <f>1!T18+2!T18+3!T18+4!T18+5!T18</f>
        <v>0</v>
      </c>
      <c r="U18" s="708">
        <f>1!U18+2!U18+3!U18+4!U18+5!U18</f>
        <v>0</v>
      </c>
      <c r="V18" s="229"/>
      <c r="W18" s="305"/>
      <c r="X18" s="227"/>
      <c r="Y18" s="175"/>
      <c r="Z18" s="171"/>
      <c r="AA18" s="171"/>
    </row>
    <row r="19" spans="1:27" ht="21" customHeight="1" thickBot="1">
      <c r="A19" s="699">
        <f t="shared" si="2"/>
        <v>10</v>
      </c>
      <c r="B19" s="697" t="s">
        <v>32</v>
      </c>
      <c r="C19" s="698" t="s">
        <v>2</v>
      </c>
      <c r="D19" s="706">
        <f>1!D19+2!D19+3!D19+4!D19+5!D19</f>
        <v>10114</v>
      </c>
      <c r="E19" s="706">
        <f>1!E19+2!E19+3!E19+4!E19+5!E19</f>
        <v>1764</v>
      </c>
      <c r="F19" s="706">
        <f>1!F19+2!F19+3!F19+4!F19+5!F19</f>
        <v>10299</v>
      </c>
      <c r="G19" s="706">
        <f>1!G19+2!G19+3!G19+4!G19+5!G19</f>
        <v>2781</v>
      </c>
      <c r="H19" s="706">
        <f>1!H19+2!H19+3!H19+4!H19+5!H19</f>
        <v>7518</v>
      </c>
      <c r="I19" s="706">
        <f>1!I19+2!I19+3!I19+4!I19+5!I19</f>
        <v>0</v>
      </c>
      <c r="J19" s="727">
        <f>1!J19+2!J19+3!J19+4!J19+5!J19</f>
        <v>0</v>
      </c>
      <c r="K19" s="706">
        <f>1!K19+2!K19+3!K19+4!K19+5!K19</f>
        <v>0</v>
      </c>
      <c r="L19" s="706">
        <f>1!L19+2!L19+3!L19+4!L19+5!L19</f>
        <v>471</v>
      </c>
      <c r="M19" s="706">
        <f>1!M19+2!M19+3!M19+4!M19+5!M19</f>
        <v>2544</v>
      </c>
      <c r="N19" s="706">
        <f>1!N19+2!N19+3!N19+4!N19+5!N19</f>
        <v>471</v>
      </c>
      <c r="O19" s="706">
        <f>1!O19+2!O19+3!O19+4!O19+5!O19</f>
        <v>2235</v>
      </c>
      <c r="P19" s="706">
        <f>1!P19+2!P19+3!P19+4!P19+5!P19</f>
        <v>470</v>
      </c>
      <c r="Q19" s="706">
        <f>1!Q19+2!Q19+3!Q19+4!Q19+5!Q19</f>
        <v>970</v>
      </c>
      <c r="R19" s="706">
        <f>1!R19+2!R19+3!R19+4!R19+5!R19</f>
        <v>357</v>
      </c>
      <c r="S19" s="706">
        <f>1!S19+2!S19+3!S19+4!S19+5!S19</f>
        <v>0</v>
      </c>
      <c r="T19" s="706">
        <f>1!T19+2!T19+3!T19+4!T19+5!T19</f>
        <v>0</v>
      </c>
      <c r="U19" s="707">
        <f>1!U19+2!U19+3!U19+4!U19+5!U19</f>
        <v>0</v>
      </c>
      <c r="V19" s="229">
        <f t="shared" si="0"/>
        <v>7518</v>
      </c>
      <c r="W19" s="305">
        <f t="shared" si="1"/>
        <v>0</v>
      </c>
      <c r="X19" s="227"/>
      <c r="Y19" s="175"/>
      <c r="Z19" s="171"/>
      <c r="AA19" s="171"/>
    </row>
    <row r="20" spans="1:27" ht="19.5" customHeight="1" thickBot="1">
      <c r="A20" s="241">
        <f t="shared" si="2"/>
        <v>11</v>
      </c>
      <c r="B20" s="188" t="s">
        <v>33</v>
      </c>
      <c r="C20" s="241" t="s">
        <v>19</v>
      </c>
      <c r="D20" s="705">
        <f>1!D20+2!D20+3!D20+4!D20+5!D20</f>
        <v>0.05</v>
      </c>
      <c r="E20" s="705">
        <f>1!E20+2!E20+3!E20+4!E20+5!E20</f>
        <v>0.02</v>
      </c>
      <c r="F20" s="705">
        <f>1!F20+2!F20+3!F20+4!F20+5!F20</f>
        <v>0</v>
      </c>
      <c r="G20" s="705">
        <f>1!G20+2!G20+3!G20+4!G20+5!G20</f>
        <v>0</v>
      </c>
      <c r="H20" s="705">
        <f>1!H20+2!H20+3!H20+4!H20+5!H20</f>
        <v>0</v>
      </c>
      <c r="I20" s="705">
        <f>1!I20+2!I20+3!I20+4!I20+5!I20</f>
        <v>0</v>
      </c>
      <c r="J20" s="727">
        <f>1!J20+2!J20+3!J20+4!J20+5!J20</f>
        <v>0</v>
      </c>
      <c r="K20" s="705">
        <f>1!K20+2!K20+3!K20+4!K20+5!K20</f>
        <v>0</v>
      </c>
      <c r="L20" s="705">
        <f>1!L20+2!L20+3!L20+4!L20+5!L20</f>
        <v>0</v>
      </c>
      <c r="M20" s="705">
        <f>1!M20+2!M20+3!M20+4!M20+5!M20</f>
        <v>0</v>
      </c>
      <c r="N20" s="705">
        <f>1!N20+2!N20+3!N20+4!N20+5!N20</f>
        <v>0</v>
      </c>
      <c r="O20" s="705">
        <f>1!O20+2!O20+3!O20+4!O20+5!O20</f>
        <v>0</v>
      </c>
      <c r="P20" s="705">
        <f>1!P20+2!P20+3!P20+4!P20+5!P20</f>
        <v>0</v>
      </c>
      <c r="Q20" s="705">
        <f>1!Q20+2!Q20+3!Q20+4!Q20+5!Q20</f>
        <v>0</v>
      </c>
      <c r="R20" s="705">
        <f>1!R20+2!R20+3!R20+4!R20+5!R20</f>
        <v>0</v>
      </c>
      <c r="S20" s="705">
        <f>1!S20+2!S20+3!S20+4!S20+5!S20</f>
        <v>0</v>
      </c>
      <c r="T20" s="705">
        <f>1!T20+2!T20+3!T20+4!T20+5!T20</f>
        <v>0</v>
      </c>
      <c r="U20" s="708">
        <f>1!U20+2!U20+3!U20+4!U20+5!U20</f>
        <v>0</v>
      </c>
      <c r="V20" s="229">
        <f t="shared" si="0"/>
        <v>0</v>
      </c>
      <c r="W20" s="305">
        <f t="shared" si="1"/>
        <v>0</v>
      </c>
      <c r="X20" s="227"/>
      <c r="Y20" s="175"/>
      <c r="Z20" s="171"/>
      <c r="AA20" s="171"/>
    </row>
    <row r="21" spans="1:27" ht="23.25" customHeight="1" thickBot="1">
      <c r="A21" s="699">
        <f t="shared" si="2"/>
        <v>12</v>
      </c>
      <c r="B21" s="697" t="s">
        <v>34</v>
      </c>
      <c r="C21" s="698" t="s">
        <v>35</v>
      </c>
      <c r="D21" s="706">
        <f>1!D21+2!D21+3!D21+4!D21+5!D21</f>
        <v>2236</v>
      </c>
      <c r="E21" s="706">
        <f>1!E21+2!E21+3!E21+4!E21+5!E21</f>
        <v>0</v>
      </c>
      <c r="F21" s="706">
        <f>1!F21+2!F21+3!F21+4!F21+5!F21</f>
        <v>19828</v>
      </c>
      <c r="G21" s="706">
        <f>1!G21+2!G21+3!G21+4!G21+5!G21</f>
        <v>5074</v>
      </c>
      <c r="H21" s="706">
        <f>1!H21+2!H21+3!H21+4!H21+5!H21</f>
        <v>2236</v>
      </c>
      <c r="I21" s="706">
        <f>1!I21+2!I21+3!I21+4!I21+5!I21</f>
        <v>0</v>
      </c>
      <c r="J21" s="727">
        <f>1!J21+2!J21+3!J21+4!J21+5!J21</f>
        <v>0</v>
      </c>
      <c r="K21" s="706">
        <f>1!K21+2!K21+3!K21+4!K21+5!K21</f>
        <v>0</v>
      </c>
      <c r="L21" s="706">
        <f>1!L21+2!L21+3!L21+4!L21+5!L21</f>
        <v>0</v>
      </c>
      <c r="M21" s="706">
        <f>1!M21+2!M21+3!M21+4!M21+5!M21</f>
        <v>0</v>
      </c>
      <c r="N21" s="706">
        <f>1!N21+2!N21+3!N21+4!N21+5!N21</f>
        <v>440.75</v>
      </c>
      <c r="O21" s="706">
        <f>1!O21+2!O21+3!O21+4!O21+5!O21</f>
        <v>340.75</v>
      </c>
      <c r="P21" s="706">
        <f>1!P21+2!P21+3!P21+4!P21+5!P21</f>
        <v>590.75</v>
      </c>
      <c r="Q21" s="706">
        <f>1!Q21+2!Q21+3!Q21+4!Q21+5!Q21</f>
        <v>590.75</v>
      </c>
      <c r="R21" s="706">
        <f>1!R21+2!R21+3!R21+4!R21+5!R21</f>
        <v>273</v>
      </c>
      <c r="S21" s="706">
        <f>1!S21+2!S21+3!S21+4!S21+5!S21</f>
        <v>0</v>
      </c>
      <c r="T21" s="706">
        <f>1!T21+2!T21+3!T21+4!T21+5!T21</f>
        <v>0</v>
      </c>
      <c r="U21" s="707">
        <f>1!U21+2!U21+3!U21+4!U21+5!U21</f>
        <v>0</v>
      </c>
      <c r="V21" s="229">
        <f t="shared" si="0"/>
        <v>2236</v>
      </c>
      <c r="W21" s="305">
        <f t="shared" si="1"/>
        <v>0</v>
      </c>
      <c r="X21" s="227"/>
      <c r="Y21" s="175"/>
      <c r="Z21" s="171"/>
      <c r="AA21" s="171"/>
    </row>
    <row r="22" spans="1:27" ht="24" customHeight="1" thickBot="1">
      <c r="A22" s="241">
        <f t="shared" si="2"/>
        <v>13</v>
      </c>
      <c r="B22" s="247" t="s">
        <v>36</v>
      </c>
      <c r="C22" s="220" t="s">
        <v>2</v>
      </c>
      <c r="D22" s="705">
        <f>1!D22+2!D22+3!D22+4!D22+5!D22</f>
        <v>2266</v>
      </c>
      <c r="E22" s="705">
        <f>1!E22+2!E22+3!E22+4!E22+5!E22</f>
        <v>1062</v>
      </c>
      <c r="F22" s="705">
        <f>1!F22+2!F22+3!F22+4!F22+5!F22</f>
        <v>1906</v>
      </c>
      <c r="G22" s="705">
        <f>1!G22+2!G22+3!G22+4!G22+5!G22</f>
        <v>61</v>
      </c>
      <c r="H22" s="705">
        <f>1!H22+2!H22+3!H22+4!H22+5!H22</f>
        <v>1273</v>
      </c>
      <c r="I22" s="705">
        <f>1!I22+2!I22+3!I22+4!I22+5!I22</f>
        <v>0</v>
      </c>
      <c r="J22" s="727">
        <f>1!J22+2!J22+3!J22+4!J22+5!J22</f>
        <v>0</v>
      </c>
      <c r="K22" s="705">
        <f>1!K22+2!K22+3!K22+4!K22+5!K22</f>
        <v>0</v>
      </c>
      <c r="L22" s="705">
        <f>1!L22+2!L22+3!L22+4!L22+5!L22</f>
        <v>0</v>
      </c>
      <c r="M22" s="705">
        <f>1!M22+2!M22+3!M22+4!M22+5!M22</f>
        <v>0</v>
      </c>
      <c r="N22" s="705">
        <f>1!N22+2!N22+3!N22+4!N22+5!N22</f>
        <v>0</v>
      </c>
      <c r="O22" s="705">
        <f>1!O22+2!O22+3!O22+4!O22+5!O22</f>
        <v>0</v>
      </c>
      <c r="P22" s="705">
        <f>1!P22+2!P22+3!P22+4!P22+5!P22</f>
        <v>490</v>
      </c>
      <c r="Q22" s="705">
        <f>1!Q22+2!Q22+3!Q22+4!Q22+5!Q22</f>
        <v>661</v>
      </c>
      <c r="R22" s="705">
        <f>1!R22+2!R22+3!R22+4!R22+5!R22</f>
        <v>122</v>
      </c>
      <c r="S22" s="705">
        <f>1!S22+2!S22+3!S22+4!S22+5!S22</f>
        <v>0</v>
      </c>
      <c r="T22" s="705">
        <f>1!T22+2!T22+3!T22+4!T22+5!T22</f>
        <v>0</v>
      </c>
      <c r="U22" s="708">
        <f>1!U22+2!U22+3!U22+4!U22+5!U22</f>
        <v>0</v>
      </c>
      <c r="V22" s="229">
        <f t="shared" si="0"/>
        <v>1273</v>
      </c>
      <c r="W22" s="305">
        <f t="shared" si="1"/>
        <v>0</v>
      </c>
      <c r="X22" s="227"/>
      <c r="Y22" s="201"/>
      <c r="Z22" s="171"/>
      <c r="AA22" s="171"/>
    </row>
    <row r="23" spans="1:27" ht="20.25" customHeight="1" thickBot="1">
      <c r="A23" s="699">
        <f t="shared" si="2"/>
        <v>14</v>
      </c>
      <c r="B23" s="697" t="s">
        <v>37</v>
      </c>
      <c r="C23" s="698" t="s">
        <v>2</v>
      </c>
      <c r="D23" s="706">
        <f>1!D23+2!D23+3!D23+4!D23+5!D23</f>
        <v>442</v>
      </c>
      <c r="E23" s="706">
        <f>1!E23+2!E23+3!E23+4!E23+5!E23</f>
        <v>215</v>
      </c>
      <c r="F23" s="706">
        <f>1!F23+2!F23+3!F23+4!F23+5!F23</f>
        <v>355</v>
      </c>
      <c r="G23" s="706">
        <f>1!G23+2!G23+3!G23+4!G23+5!G23</f>
        <v>128</v>
      </c>
      <c r="H23" s="706">
        <f>1!H23+2!H23+3!H23+4!H23+5!H23</f>
        <v>227</v>
      </c>
      <c r="I23" s="706">
        <f>1!I23+2!I23+3!I23+4!I23+5!I23</f>
        <v>0</v>
      </c>
      <c r="J23" s="727">
        <f>1!J23+2!J23+3!J23+4!J23+5!J23</f>
        <v>0</v>
      </c>
      <c r="K23" s="706">
        <f>1!K23+2!K23+3!K23+4!K23+5!K23</f>
        <v>0</v>
      </c>
      <c r="L23" s="706">
        <f>1!L23+2!L23+3!L23+4!L23+5!L23</f>
        <v>44</v>
      </c>
      <c r="M23" s="706">
        <f>1!M23+2!M23+3!M23+4!M23+5!M23</f>
        <v>91</v>
      </c>
      <c r="N23" s="706">
        <f>1!N23+2!N23+3!N23+4!N23+5!N23</f>
        <v>92</v>
      </c>
      <c r="O23" s="706">
        <f>1!O23+2!O23+3!O23+4!O23+5!O23</f>
        <v>0</v>
      </c>
      <c r="P23" s="706">
        <f>1!P23+2!P23+3!P23+4!P23+5!P23</f>
        <v>0</v>
      </c>
      <c r="Q23" s="706">
        <f>1!Q23+2!Q23+3!Q23+4!Q23+5!Q23</f>
        <v>0</v>
      </c>
      <c r="R23" s="706">
        <f>1!R23+2!R23+3!R23+4!R23+5!R23</f>
        <v>0</v>
      </c>
      <c r="S23" s="706">
        <f>1!S23+2!S23+3!S23+4!S23+5!S23</f>
        <v>0</v>
      </c>
      <c r="T23" s="706">
        <f>1!T23+2!T23+3!T23+4!T23+5!T23</f>
        <v>0</v>
      </c>
      <c r="U23" s="707">
        <f>1!U23+2!U23+3!U23+4!U23+5!U23</f>
        <v>0</v>
      </c>
      <c r="V23" s="229">
        <f t="shared" si="0"/>
        <v>227</v>
      </c>
      <c r="W23" s="305">
        <f t="shared" si="1"/>
        <v>0</v>
      </c>
      <c r="X23" s="227"/>
      <c r="Y23" s="175"/>
      <c r="Z23" s="171"/>
      <c r="AA23" s="171"/>
    </row>
    <row r="24" spans="1:27" ht="24" customHeight="1" thickBot="1">
      <c r="A24" s="241">
        <f t="shared" si="2"/>
        <v>15</v>
      </c>
      <c r="B24" s="247" t="s">
        <v>38</v>
      </c>
      <c r="C24" s="220" t="s">
        <v>35</v>
      </c>
      <c r="D24" s="705">
        <f>1!D24+2!D24+3!D24+4!D24+5!D24</f>
        <v>28156</v>
      </c>
      <c r="E24" s="705">
        <f>1!E24+2!E24+3!E24+4!E24+5!E24</f>
        <v>28156</v>
      </c>
      <c r="F24" s="705">
        <f>1!F24+2!F24+3!F24+4!F24+5!F24</f>
        <v>14028</v>
      </c>
      <c r="G24" s="705">
        <f>1!G24+2!G24+3!G24+4!G24+5!G24</f>
        <v>10464</v>
      </c>
      <c r="H24" s="705">
        <f>1!H24+2!H24+3!H24+4!H24+5!H24</f>
        <v>0</v>
      </c>
      <c r="I24" s="705">
        <f>1!I24+2!I24+3!I24+4!I24+5!I24</f>
        <v>0</v>
      </c>
      <c r="J24" s="727">
        <f>1!J24+2!J24+3!J24+4!J24+5!J24</f>
        <v>0</v>
      </c>
      <c r="K24" s="705">
        <f>1!K24+2!K24+3!K24+4!K24+5!K24</f>
        <v>0</v>
      </c>
      <c r="L24" s="705">
        <f>1!L24+2!L24+3!L24+4!L24+5!L24</f>
        <v>0</v>
      </c>
      <c r="M24" s="705">
        <f>1!M24+2!M24+3!M24+4!M24+5!M24</f>
        <v>0</v>
      </c>
      <c r="N24" s="705">
        <f>1!N24+2!N24+3!N24+4!N24+5!N24</f>
        <v>0</v>
      </c>
      <c r="O24" s="705">
        <f>1!O24+2!O24+3!O24+4!O24+5!O24</f>
        <v>0</v>
      </c>
      <c r="P24" s="705">
        <f>1!P24+2!P24+3!P24+4!P24+5!P24</f>
        <v>0</v>
      </c>
      <c r="Q24" s="705">
        <f>1!Q24+2!Q24+3!Q24+4!Q24+5!Q24</f>
        <v>0</v>
      </c>
      <c r="R24" s="705">
        <f>1!R24+2!R24+3!R24+4!R24+5!R24</f>
        <v>0</v>
      </c>
      <c r="S24" s="705">
        <f>1!S24+2!S24+3!S24+4!S24+5!S24</f>
        <v>0</v>
      </c>
      <c r="T24" s="705">
        <f>1!T24+2!T24+3!T24+4!T24+5!T24</f>
        <v>0</v>
      </c>
      <c r="U24" s="708">
        <f>1!U24+2!U24+3!U24+4!U24+5!U24</f>
        <v>0</v>
      </c>
      <c r="V24" s="229">
        <f t="shared" si="0"/>
        <v>0</v>
      </c>
      <c r="W24" s="305">
        <f t="shared" si="1"/>
        <v>0</v>
      </c>
      <c r="X24" s="227"/>
      <c r="Y24" s="175"/>
      <c r="Z24" s="171"/>
      <c r="AA24" s="171"/>
    </row>
    <row r="25" spans="1:27" ht="26.25" thickBot="1">
      <c r="A25" s="699">
        <f t="shared" si="2"/>
        <v>16</v>
      </c>
      <c r="B25" s="697" t="s">
        <v>39</v>
      </c>
      <c r="C25" s="698" t="s">
        <v>2</v>
      </c>
      <c r="D25" s="706">
        <f>1!D25+2!D25+3!D25+4!D25+5!D25</f>
        <v>2136</v>
      </c>
      <c r="E25" s="706">
        <f>1!E25+2!E25+3!E25+4!E25+5!E25</f>
        <v>805</v>
      </c>
      <c r="F25" s="706">
        <f>1!F25+2!F25+3!F25+4!F25+5!F25</f>
        <v>934</v>
      </c>
      <c r="G25" s="706">
        <f>1!G25+2!G25+3!G25+4!G25+5!G25</f>
        <v>61</v>
      </c>
      <c r="H25" s="706">
        <f>1!H25+2!H25+3!H25+4!H25+5!H25</f>
        <v>873</v>
      </c>
      <c r="I25" s="706">
        <f>1!I25+2!I25+3!I25+4!I25+5!I25</f>
        <v>0</v>
      </c>
      <c r="J25" s="727">
        <f>1!J25+2!J25+3!J25+4!J25+5!J25</f>
        <v>0</v>
      </c>
      <c r="K25" s="706">
        <f>1!K25+2!K25+3!K25+4!K25+5!K25</f>
        <v>0</v>
      </c>
      <c r="L25" s="706">
        <f>1!L25+2!L25+3!L25+4!L25+5!L25</f>
        <v>0</v>
      </c>
      <c r="M25" s="706">
        <f>1!M25+2!M25+3!M25+4!M25+5!M25</f>
        <v>0</v>
      </c>
      <c r="N25" s="706">
        <f>1!N25+2!N25+3!N25+4!N25+5!N25</f>
        <v>0</v>
      </c>
      <c r="O25" s="706">
        <f>1!O25+2!O25+3!O25+4!O25+5!O25</f>
        <v>0</v>
      </c>
      <c r="P25" s="706">
        <f>1!P25+2!P25+3!P25+4!P25+5!P25</f>
        <v>412</v>
      </c>
      <c r="Q25" s="706">
        <f>1!Q25+2!Q25+3!Q25+4!Q25+5!Q25</f>
        <v>461</v>
      </c>
      <c r="R25" s="706">
        <f>1!R25+2!R25+3!R25+4!R25+5!R25</f>
        <v>0</v>
      </c>
      <c r="S25" s="706">
        <f>1!S25+2!S25+3!S25+4!S25+5!S25</f>
        <v>0</v>
      </c>
      <c r="T25" s="706">
        <f>1!T25+2!T25+3!T25+4!T25+5!T25</f>
        <v>0</v>
      </c>
      <c r="U25" s="707">
        <f>1!U25+2!U25+3!U25+4!U25+5!U25</f>
        <v>0</v>
      </c>
      <c r="V25" s="229">
        <f t="shared" si="0"/>
        <v>873</v>
      </c>
      <c r="W25" s="305">
        <f t="shared" si="1"/>
        <v>0</v>
      </c>
      <c r="X25" s="227"/>
      <c r="Y25" s="175"/>
      <c r="Z25" s="171"/>
      <c r="AA25" s="171"/>
    </row>
    <row r="26" spans="1:27" ht="22.5" customHeight="1" thickBot="1">
      <c r="A26" s="241">
        <f t="shared" si="2"/>
        <v>17</v>
      </c>
      <c r="B26" s="247" t="s">
        <v>40</v>
      </c>
      <c r="C26" s="220" t="s">
        <v>41</v>
      </c>
      <c r="D26" s="705">
        <f>1!D26+2!D26+3!D26+4!D26+5!D26</f>
        <v>194811.3</v>
      </c>
      <c r="E26" s="705">
        <f>1!E26+2!E26+3!E26+4!E26+5!E26</f>
        <v>256.3</v>
      </c>
      <c r="F26" s="705">
        <f>1!F26+2!F26+3!F26+4!F26+5!F26</f>
        <v>269.65370199999995</v>
      </c>
      <c r="G26" s="705">
        <f>1!G26+2!G26+3!G26+4!G26+5!G26</f>
        <v>0</v>
      </c>
      <c r="H26" s="705">
        <f>1!H26+2!H26+3!H26+4!H26+5!H26</f>
        <v>269.65370199999995</v>
      </c>
      <c r="I26" s="705">
        <f>1!I26+2!I26+3!I26+4!I26+5!I26</f>
        <v>0</v>
      </c>
      <c r="J26" s="727">
        <f>1!J26+2!J26+3!J26+4!J26+5!J26</f>
        <v>0</v>
      </c>
      <c r="K26" s="705">
        <f>1!K26+2!K26+3!K26+4!K26+5!K26</f>
        <v>0</v>
      </c>
      <c r="L26" s="705">
        <f>1!L26+2!L26+3!L26+4!L26+5!L26</f>
        <v>0</v>
      </c>
      <c r="M26" s="705">
        <f>1!M26+2!M26+3!M26+4!M26+5!M26</f>
        <v>0</v>
      </c>
      <c r="N26" s="705">
        <f>1!N26+2!N26+3!N26+4!N26+5!N26</f>
        <v>0</v>
      </c>
      <c r="O26" s="705">
        <f>1!O26+2!O26+3!O26+4!O26+5!O26</f>
        <v>64.6</v>
      </c>
      <c r="P26" s="705">
        <f>1!P26+2!P26+3!P26+4!P26+5!P26</f>
        <v>45</v>
      </c>
      <c r="Q26" s="705">
        <f>1!Q26+2!Q26+3!Q26+4!Q26+5!Q26</f>
        <v>160.053702</v>
      </c>
      <c r="R26" s="705">
        <f>1!R26+2!R26+3!R26+4!R26+5!R26</f>
        <v>0</v>
      </c>
      <c r="S26" s="705">
        <f>1!S26+2!S26+3!S26+4!S26+5!S26</f>
        <v>0</v>
      </c>
      <c r="T26" s="705">
        <f>1!T26+2!T26+3!T26+4!T26+5!T26</f>
        <v>0</v>
      </c>
      <c r="U26" s="708">
        <f>1!U26+2!U26+3!U26+4!U26+5!U26</f>
        <v>0</v>
      </c>
      <c r="V26" s="229">
        <f t="shared" si="0"/>
        <v>269.65370199999995</v>
      </c>
      <c r="W26" s="305">
        <f t="shared" si="1"/>
        <v>0</v>
      </c>
      <c r="X26" s="227"/>
      <c r="Y26" s="175"/>
      <c r="Z26" s="171"/>
      <c r="AA26" s="171"/>
    </row>
    <row r="27" spans="1:27" ht="23.25" customHeight="1" thickBot="1">
      <c r="A27" s="241">
        <f t="shared" si="2"/>
        <v>18</v>
      </c>
      <c r="B27" s="247" t="s">
        <v>42</v>
      </c>
      <c r="C27" s="220" t="s">
        <v>41</v>
      </c>
      <c r="D27" s="705">
        <f>1!D27+2!D27+3!D27+4!D27+5!D27</f>
        <v>63.2</v>
      </c>
      <c r="E27" s="705">
        <f>1!E27+2!E27+3!E27+4!E27+5!E27</f>
        <v>20.1</v>
      </c>
      <c r="F27" s="705">
        <f>1!F27+2!F27+3!F27+4!F27+5!F27</f>
        <v>0</v>
      </c>
      <c r="G27" s="705">
        <f>1!G27+2!G27+3!G27+4!G27+5!G27</f>
        <v>0</v>
      </c>
      <c r="H27" s="705">
        <f>1!H27+2!H27+3!H27+4!H27+5!H27</f>
        <v>0</v>
      </c>
      <c r="I27" s="705">
        <f>1!I27+2!I27+3!I27+4!I27+5!I27</f>
        <v>0</v>
      </c>
      <c r="J27" s="727">
        <f>1!J27+2!J27+3!J27+4!J27+5!J27</f>
        <v>0</v>
      </c>
      <c r="K27" s="705">
        <f>1!K27+2!K27+3!K27+4!K27+5!K27</f>
        <v>0</v>
      </c>
      <c r="L27" s="705">
        <f>1!L27+2!L27+3!L27+4!L27+5!L27</f>
        <v>0</v>
      </c>
      <c r="M27" s="705">
        <f>1!M27+2!M27+3!M27+4!M27+5!M27</f>
        <v>0</v>
      </c>
      <c r="N27" s="705">
        <f>1!N27+2!N27+3!N27+4!N27+5!N27</f>
        <v>0</v>
      </c>
      <c r="O27" s="705">
        <f>1!O27+2!O27+3!O27+4!O27+5!O27</f>
        <v>0</v>
      </c>
      <c r="P27" s="705">
        <f>1!P27+2!P27+3!P27+4!P27+5!P27</f>
        <v>0</v>
      </c>
      <c r="Q27" s="705">
        <f>1!Q27+2!Q27+3!Q27+4!Q27+5!Q27</f>
        <v>0</v>
      </c>
      <c r="R27" s="705">
        <f>1!R27+2!R27+3!R27+4!R27+5!R27</f>
        <v>0</v>
      </c>
      <c r="S27" s="705">
        <f>1!S27+2!S27+3!S27+4!S27+5!S27</f>
        <v>0</v>
      </c>
      <c r="T27" s="705">
        <f>1!T27+2!T27+3!T27+4!T27+5!T27</f>
        <v>0</v>
      </c>
      <c r="U27" s="708">
        <f>1!U27+2!U27+3!U27+4!U27+5!U27</f>
        <v>0</v>
      </c>
      <c r="V27" s="229">
        <f t="shared" si="0"/>
        <v>0</v>
      </c>
      <c r="W27" s="305">
        <f t="shared" si="1"/>
        <v>0</v>
      </c>
      <c r="X27" s="227"/>
      <c r="Y27" s="175"/>
      <c r="Z27" s="171"/>
      <c r="AA27" s="171"/>
    </row>
    <row r="28" spans="1:27" ht="21" customHeight="1" thickBot="1">
      <c r="A28" s="699">
        <f t="shared" si="2"/>
        <v>19</v>
      </c>
      <c r="B28" s="697" t="s">
        <v>43</v>
      </c>
      <c r="C28" s="698" t="s">
        <v>19</v>
      </c>
      <c r="D28" s="706">
        <f>1!D28+2!D28+3!D28+4!D28+5!D28</f>
        <v>1.283</v>
      </c>
      <c r="E28" s="706">
        <f>1!E28+2!E28+3!E28+4!E28+5!E28</f>
        <v>0</v>
      </c>
      <c r="F28" s="706">
        <f>1!F28+2!F28+3!F28+4!F28+5!F28</f>
        <v>0.735</v>
      </c>
      <c r="G28" s="706">
        <f>1!G28+2!G28+3!G28+4!G28+5!G28</f>
        <v>0</v>
      </c>
      <c r="H28" s="706">
        <f>1!H28+2!H28+3!H28+4!H28+5!H28</f>
        <v>1.193</v>
      </c>
      <c r="I28" s="706">
        <f>1!I28+2!I28+3!I28+4!I28+5!I28</f>
        <v>0</v>
      </c>
      <c r="J28" s="727">
        <f>1!J28+2!J28+3!J28+4!J28+5!J28</f>
        <v>0</v>
      </c>
      <c r="K28" s="706">
        <f>1!K28+2!K28+3!K28+4!K28+5!K28</f>
        <v>0</v>
      </c>
      <c r="L28" s="706">
        <f>1!L28+2!L28+3!L28+4!L28+5!L28</f>
        <v>0</v>
      </c>
      <c r="M28" s="706">
        <f>1!M28+2!M28+3!M28+4!M28+5!M28</f>
        <v>0</v>
      </c>
      <c r="N28" s="706">
        <f>1!N28+2!N28+3!N28+4!N28+5!N28</f>
        <v>0.5</v>
      </c>
      <c r="O28" s="706">
        <f>1!O28+2!O28+3!O28+4!O28+5!O28</f>
        <v>0.135</v>
      </c>
      <c r="P28" s="706">
        <f>1!P28+2!P28+3!P28+4!P28+5!P28</f>
        <v>0.1</v>
      </c>
      <c r="Q28" s="706">
        <f>1!Q28+2!Q28+3!Q28+4!Q28+5!Q28</f>
        <v>0</v>
      </c>
      <c r="R28" s="706">
        <f>1!R28+2!R28+3!R28+4!R28+5!R28</f>
        <v>0</v>
      </c>
      <c r="S28" s="706">
        <f>1!S28+2!S28+3!S28+4!S28+5!S28</f>
        <v>0</v>
      </c>
      <c r="T28" s="706">
        <f>1!T28+2!T28+3!T28+4!T28+5!T28</f>
        <v>0</v>
      </c>
      <c r="U28" s="707">
        <f>1!U28+2!U28+3!U28+4!U28+5!U28</f>
        <v>0</v>
      </c>
      <c r="V28" s="358">
        <f t="shared" si="0"/>
        <v>0.735</v>
      </c>
      <c r="W28" s="305">
        <f t="shared" si="1"/>
        <v>0.4580000000000001</v>
      </c>
      <c r="X28" s="227"/>
      <c r="Y28" s="175"/>
      <c r="Z28" s="171"/>
      <c r="AA28" s="171"/>
    </row>
    <row r="29" spans="1:27" ht="25.5" customHeight="1" thickBot="1">
      <c r="A29" s="241">
        <f t="shared" si="2"/>
        <v>20</v>
      </c>
      <c r="B29" s="247" t="s">
        <v>44</v>
      </c>
      <c r="C29" s="220" t="s">
        <v>45</v>
      </c>
      <c r="D29" s="705">
        <f>1!D29+2!D29+3!D29+4!D29+5!D29</f>
        <v>25817.89</v>
      </c>
      <c r="E29" s="705">
        <f>1!E29+2!E29+3!E29+4!E29+5!E29</f>
        <v>25117.89</v>
      </c>
      <c r="F29" s="705">
        <f>1!F29+2!F29+3!F29+4!F29+5!F29</f>
        <v>785</v>
      </c>
      <c r="G29" s="705">
        <f>1!G29+2!G29+3!G29+4!G29+5!G29</f>
        <v>85</v>
      </c>
      <c r="H29" s="705">
        <f>1!H29+2!H29+3!H29+4!H29+5!H29</f>
        <v>700</v>
      </c>
      <c r="I29" s="705">
        <f>1!I29+2!I29+3!I29+4!I29+5!I29</f>
        <v>0</v>
      </c>
      <c r="J29" s="727">
        <f>1!J29+2!J29+3!J29+4!J29+5!J29</f>
        <v>0</v>
      </c>
      <c r="K29" s="705">
        <f>1!K29+2!K29+3!K29+4!K29+5!K29</f>
        <v>700</v>
      </c>
      <c r="L29" s="705">
        <f>1!L29+2!L29+3!L29+4!L29+5!L29</f>
        <v>0</v>
      </c>
      <c r="M29" s="705">
        <f>1!M29+2!M29+3!M29+4!M29+5!M29</f>
        <v>0</v>
      </c>
      <c r="N29" s="705">
        <f>1!N29+2!N29+3!N29+4!N29+5!N29</f>
        <v>0</v>
      </c>
      <c r="O29" s="705">
        <f>1!O29+2!O29+3!O29+4!O29+5!O29</f>
        <v>0</v>
      </c>
      <c r="P29" s="705">
        <f>1!P29+2!P29+3!P29+4!P29+5!P29</f>
        <v>0</v>
      </c>
      <c r="Q29" s="705">
        <f>1!Q29+2!Q29+3!Q29+4!Q29+5!Q29</f>
        <v>0</v>
      </c>
      <c r="R29" s="705">
        <f>1!R29+2!R29+3!R29+4!R29+5!R29</f>
        <v>0</v>
      </c>
      <c r="S29" s="705">
        <f>1!S29+2!S29+3!S29+4!S29+5!S29</f>
        <v>0</v>
      </c>
      <c r="T29" s="705">
        <f>1!T29+2!T29+3!T29+4!T29+5!T29</f>
        <v>0</v>
      </c>
      <c r="U29" s="708">
        <f>1!U29+2!U29+3!U29+4!U29+5!U29</f>
        <v>0</v>
      </c>
      <c r="V29" s="229">
        <f t="shared" si="0"/>
        <v>700</v>
      </c>
      <c r="W29" s="305">
        <f t="shared" si="1"/>
        <v>0</v>
      </c>
      <c r="X29" s="227"/>
      <c r="Y29" s="175"/>
      <c r="Z29" s="171"/>
      <c r="AA29" s="171"/>
    </row>
    <row r="30" spans="1:27" ht="20.25" customHeight="1" thickBot="1">
      <c r="A30" s="241">
        <f t="shared" si="2"/>
        <v>21</v>
      </c>
      <c r="B30" s="247" t="s">
        <v>46</v>
      </c>
      <c r="C30" s="220" t="s">
        <v>19</v>
      </c>
      <c r="D30" s="705">
        <f>1!D30+2!D30+3!D30+4!D30+5!D30</f>
        <v>0</v>
      </c>
      <c r="E30" s="705">
        <f>1!E30+2!E30+3!E30+4!E30+5!E30</f>
        <v>0</v>
      </c>
      <c r="F30" s="705">
        <f>1!F30+2!F30+3!F30+4!F30+5!F30</f>
        <v>0</v>
      </c>
      <c r="G30" s="705">
        <f>1!G30+2!G30+3!G30+4!G30+5!G30</f>
        <v>0</v>
      </c>
      <c r="H30" s="705">
        <f>1!H30+2!H30+3!H30+4!H30+5!H30</f>
        <v>0</v>
      </c>
      <c r="I30" s="705">
        <f>1!I30+2!I30+3!I30+4!I30+5!I30</f>
        <v>0</v>
      </c>
      <c r="J30" s="727">
        <f>1!J30+2!J30+3!J30+4!J30+5!J30</f>
        <v>0</v>
      </c>
      <c r="K30" s="705">
        <f>1!K30+2!K30+3!K30+4!K30+5!K30</f>
        <v>0</v>
      </c>
      <c r="L30" s="705">
        <f>1!L30+2!L30+3!L30+4!L30+5!L30</f>
        <v>0</v>
      </c>
      <c r="M30" s="705">
        <f>1!M30+2!M30+3!M30+4!M30+5!M30</f>
        <v>0</v>
      </c>
      <c r="N30" s="705">
        <f>1!N30+2!N30+3!N30+4!N30+5!N30</f>
        <v>0</v>
      </c>
      <c r="O30" s="705">
        <f>1!O30+2!O30+3!O30+4!O30+5!O30</f>
        <v>0</v>
      </c>
      <c r="P30" s="705">
        <f>1!P30+2!P30+3!P30+4!P30+5!P30</f>
        <v>0</v>
      </c>
      <c r="Q30" s="705">
        <f>1!Q30+2!Q30+3!Q30+4!Q30+5!Q30</f>
        <v>0</v>
      </c>
      <c r="R30" s="705">
        <f>1!R30+2!R30+3!R30+4!R30+5!R30</f>
        <v>0</v>
      </c>
      <c r="S30" s="705">
        <f>1!S30+2!S30+3!S30+4!S30+5!S30</f>
        <v>0</v>
      </c>
      <c r="T30" s="705">
        <f>1!T30+2!T30+3!T30+4!T30+5!T30</f>
        <v>0</v>
      </c>
      <c r="U30" s="708">
        <f>1!U30+2!U30+3!U30+4!U30+5!U30</f>
        <v>0</v>
      </c>
      <c r="V30" s="229">
        <f t="shared" si="0"/>
        <v>0</v>
      </c>
      <c r="W30" s="305">
        <f t="shared" si="1"/>
        <v>0</v>
      </c>
      <c r="X30" s="227"/>
      <c r="Y30" s="175"/>
      <c r="Z30" s="171"/>
      <c r="AA30" s="171"/>
    </row>
    <row r="31" spans="1:27" ht="22.5" customHeight="1" thickBot="1">
      <c r="A31" s="699">
        <f t="shared" si="2"/>
        <v>22</v>
      </c>
      <c r="B31" s="697" t="s">
        <v>47</v>
      </c>
      <c r="C31" s="698" t="s">
        <v>19</v>
      </c>
      <c r="D31" s="706">
        <f>1!D31+2!D31+3!D31+4!D31+5!D31</f>
        <v>0</v>
      </c>
      <c r="E31" s="706">
        <f>1!E31+2!E31+3!E31+4!E31+5!E31</f>
        <v>0</v>
      </c>
      <c r="F31" s="706">
        <f>1!F31+2!F31+3!F31+4!F31+5!F31</f>
        <v>0</v>
      </c>
      <c r="G31" s="706">
        <f>1!G31+2!G31+3!G31+4!G31+5!G31</f>
        <v>0</v>
      </c>
      <c r="H31" s="706">
        <f>1!H31+2!H31+3!H31+4!H31+5!H31</f>
        <v>0</v>
      </c>
      <c r="I31" s="706">
        <f>1!I31+2!I31+3!I31+4!I31+5!I31</f>
        <v>0</v>
      </c>
      <c r="J31" s="727">
        <f>1!J31+2!J31+3!J31+4!J31+5!J31</f>
        <v>0</v>
      </c>
      <c r="K31" s="706">
        <f>1!K31+2!K31+3!K31+4!K31+5!K31</f>
        <v>0</v>
      </c>
      <c r="L31" s="706">
        <f>1!L31+2!L31+3!L31+4!L31+5!L31</f>
        <v>0</v>
      </c>
      <c r="M31" s="706">
        <f>1!M31+2!M31+3!M31+4!M31+5!M31</f>
        <v>0</v>
      </c>
      <c r="N31" s="706">
        <f>1!N31+2!N31+3!N31+4!N31+5!N31</f>
        <v>0</v>
      </c>
      <c r="O31" s="706">
        <f>1!O31+2!O31+3!O31+4!O31+5!O31</f>
        <v>0</v>
      </c>
      <c r="P31" s="706">
        <f>1!P31+2!P31+3!P31+4!P31+5!P31</f>
        <v>0</v>
      </c>
      <c r="Q31" s="706">
        <f>1!Q31+2!Q31+3!Q31+4!Q31+5!Q31</f>
        <v>0</v>
      </c>
      <c r="R31" s="706">
        <f>1!R31+2!R31+3!R31+4!R31+5!R31</f>
        <v>0</v>
      </c>
      <c r="S31" s="706">
        <f>1!S31+2!S31+3!S31+4!S31+5!S31</f>
        <v>0</v>
      </c>
      <c r="T31" s="706">
        <f>1!T31+2!T31+3!T31+4!T31+5!T31</f>
        <v>0</v>
      </c>
      <c r="U31" s="707">
        <f>1!U31+2!U31+3!U31+4!U31+5!U31</f>
        <v>0</v>
      </c>
      <c r="V31" s="229">
        <f t="shared" si="0"/>
        <v>0</v>
      </c>
      <c r="W31" s="305">
        <f t="shared" si="1"/>
        <v>0</v>
      </c>
      <c r="X31" s="227"/>
      <c r="Y31" s="175"/>
      <c r="Z31" s="171"/>
      <c r="AA31" s="171"/>
    </row>
    <row r="32" spans="1:27" ht="27" customHeight="1" thickBot="1">
      <c r="A32" s="241">
        <f t="shared" si="2"/>
        <v>23</v>
      </c>
      <c r="B32" s="247" t="s">
        <v>48</v>
      </c>
      <c r="C32" s="220" t="s">
        <v>41</v>
      </c>
      <c r="D32" s="709">
        <f>1!D32+2!D32+3!D32+4!D32+5!D32</f>
        <v>567.1</v>
      </c>
      <c r="E32" s="709">
        <f>1!E32+2!E32+3!E32+4!E32+5!E32</f>
        <v>86</v>
      </c>
      <c r="F32" s="709">
        <f>1!F32+2!F32+3!F32+4!F32+5!F32</f>
        <v>425.75</v>
      </c>
      <c r="G32" s="709">
        <f>1!G32+2!G32+3!G32+4!G32+5!G32</f>
        <v>0</v>
      </c>
      <c r="H32" s="709">
        <f>1!H32+2!H32+3!H32+4!H32+5!H32</f>
        <v>489.45000000000005</v>
      </c>
      <c r="I32" s="709">
        <f>1!I32+2!I32+3!I32+4!I32+5!I32</f>
        <v>0</v>
      </c>
      <c r="J32" s="728">
        <f>1!J32+2!J32+3!J32+4!J32+5!J32</f>
        <v>3</v>
      </c>
      <c r="K32" s="709">
        <f>1!K32+2!K32+3!K32+4!K32+5!K32</f>
        <v>0</v>
      </c>
      <c r="L32" s="709">
        <f>1!L32+2!L32+3!L32+4!L32+5!L32</f>
        <v>91.4</v>
      </c>
      <c r="M32" s="709">
        <f>1!M32+2!M32+3!M32+4!M32+5!M32</f>
        <v>45</v>
      </c>
      <c r="N32" s="709">
        <f>1!N32+2!N32+3!N32+4!N32+5!N32</f>
        <v>58.63</v>
      </c>
      <c r="O32" s="709">
        <f>1!O32+2!O32+3!O32+4!O32+5!O32</f>
        <v>50</v>
      </c>
      <c r="P32" s="709">
        <f>1!P32+2!P32+3!P32+4!P32+5!P32</f>
        <v>50</v>
      </c>
      <c r="Q32" s="709">
        <f>1!Q32+2!Q32+3!Q32+4!Q32+5!Q32</f>
        <v>50</v>
      </c>
      <c r="R32" s="709">
        <f>1!R32+2!R32+3!R32+4!R32+5!R32</f>
        <v>40.36</v>
      </c>
      <c r="S32" s="709">
        <f>1!S32+2!S32+3!S32+4!S32+5!S32</f>
        <v>40.36</v>
      </c>
      <c r="T32" s="709">
        <f>1!T32+2!T32+3!T32+4!T32+5!T32</f>
        <v>0</v>
      </c>
      <c r="U32" s="710">
        <f>1!U32+2!U32+3!U32+4!U32+5!U32</f>
        <v>0</v>
      </c>
      <c r="V32" s="229">
        <f t="shared" si="0"/>
        <v>428.75</v>
      </c>
      <c r="W32" s="305">
        <f t="shared" si="1"/>
        <v>60.700000000000045</v>
      </c>
      <c r="X32" s="227"/>
      <c r="Y32" s="171"/>
      <c r="Z32" s="171"/>
      <c r="AA32" s="171"/>
    </row>
    <row r="33" spans="1:24" ht="15">
      <c r="A33" s="6"/>
      <c r="B33" s="7"/>
      <c r="C33" s="8"/>
      <c r="D33" s="8"/>
      <c r="E33" s="8"/>
      <c r="F33" s="9"/>
      <c r="G33" s="10"/>
      <c r="H33" s="10"/>
      <c r="I33" s="9"/>
      <c r="J33" s="11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15.75">
      <c r="A34" s="6"/>
      <c r="B34" s="372"/>
      <c r="C34" s="8"/>
      <c r="D34" s="8"/>
      <c r="E34" s="8"/>
      <c r="F34" s="9"/>
      <c r="G34" s="10"/>
      <c r="H34" s="10"/>
      <c r="I34" s="9"/>
      <c r="J34" s="11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5">
      <c r="A35" s="6"/>
      <c r="B35" s="732"/>
      <c r="C35" s="732"/>
      <c r="D35" s="732"/>
      <c r="E35" s="732"/>
      <c r="F35" s="732"/>
      <c r="G35" s="732"/>
      <c r="H35" s="732"/>
      <c r="I35" s="9"/>
      <c r="J35" s="11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ht="15.75">
      <c r="A36" s="6"/>
      <c r="B36" s="372"/>
      <c r="C36" s="8"/>
      <c r="F36" s="9"/>
      <c r="G36" s="10"/>
      <c r="H36" s="9"/>
      <c r="I36" s="9"/>
      <c r="J36" s="11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</sheetData>
  <sheetProtection/>
  <mergeCells count="11">
    <mergeCell ref="A1:U2"/>
    <mergeCell ref="A4:A5"/>
    <mergeCell ref="B4:B5"/>
    <mergeCell ref="C4:C5"/>
    <mergeCell ref="F4:G4"/>
    <mergeCell ref="I5:J5"/>
    <mergeCell ref="D4:D5"/>
    <mergeCell ref="E4:E5"/>
    <mergeCell ref="B35:H35"/>
    <mergeCell ref="H4:H5"/>
    <mergeCell ref="I4:U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5"/>
  <sheetViews>
    <sheetView zoomScalePageLayoutView="0" workbookViewId="0" topLeftCell="A7">
      <selection activeCell="J7" sqref="J7:J32"/>
    </sheetView>
  </sheetViews>
  <sheetFormatPr defaultColWidth="9.00390625" defaultRowHeight="12.75"/>
  <cols>
    <col min="1" max="1" width="4.00390625" style="0" customWidth="1"/>
    <col min="2" max="2" width="36.125" style="0" customWidth="1"/>
    <col min="4" max="4" width="19.75390625" style="0" customWidth="1"/>
    <col min="5" max="5" width="17.375" style="0" customWidth="1"/>
    <col min="6" max="6" width="10.25390625" style="0" hidden="1" customWidth="1"/>
    <col min="7" max="7" width="9.875" style="0" hidden="1" customWidth="1"/>
    <col min="8" max="8" width="9.625" style="0" customWidth="1"/>
    <col min="13" max="13" width="10.00390625" style="0" customWidth="1"/>
    <col min="17" max="17" width="7.75390625" style="0" customWidth="1"/>
    <col min="18" max="18" width="8.625" style="0" customWidth="1"/>
    <col min="21" max="21" width="9.75390625" style="0" customWidth="1"/>
  </cols>
  <sheetData>
    <row r="1" spans="1:27" ht="13.5" customHeight="1">
      <c r="A1" s="733" t="s">
        <v>74</v>
      </c>
      <c r="B1" s="733"/>
      <c r="C1" s="733"/>
      <c r="D1" s="733"/>
      <c r="E1" s="733"/>
      <c r="F1" s="733"/>
      <c r="G1" s="733"/>
      <c r="H1" s="733"/>
      <c r="I1" s="733"/>
      <c r="J1" s="733"/>
      <c r="K1" s="733"/>
      <c r="L1" s="733"/>
      <c r="M1" s="733"/>
      <c r="N1" s="733"/>
      <c r="O1" s="733"/>
      <c r="P1" s="733"/>
      <c r="Q1" s="733"/>
      <c r="R1" s="733"/>
      <c r="S1" s="733"/>
      <c r="T1" s="733"/>
      <c r="U1" s="733"/>
      <c r="V1" s="733"/>
      <c r="W1" s="733"/>
      <c r="X1" s="733"/>
      <c r="Y1" s="733"/>
      <c r="Z1" s="733"/>
      <c r="AA1" s="733"/>
    </row>
    <row r="2" spans="1:27" ht="33" customHeight="1">
      <c r="A2" s="733"/>
      <c r="B2" s="733"/>
      <c r="C2" s="733"/>
      <c r="D2" s="733"/>
      <c r="E2" s="733"/>
      <c r="F2" s="733"/>
      <c r="G2" s="733"/>
      <c r="H2" s="733"/>
      <c r="I2" s="733"/>
      <c r="J2" s="733"/>
      <c r="K2" s="733"/>
      <c r="L2" s="733"/>
      <c r="M2" s="733"/>
      <c r="N2" s="733"/>
      <c r="O2" s="733"/>
      <c r="P2" s="733"/>
      <c r="Q2" s="733"/>
      <c r="R2" s="733"/>
      <c r="S2" s="733"/>
      <c r="T2" s="733"/>
      <c r="U2" s="733"/>
      <c r="V2" s="733"/>
      <c r="W2" s="733"/>
      <c r="X2" s="733"/>
      <c r="Y2" s="733"/>
      <c r="Z2" s="733"/>
      <c r="AA2" s="733"/>
    </row>
    <row r="3" spans="1:27" ht="14.25" customHeight="1" thickBot="1">
      <c r="A3" s="171"/>
      <c r="B3" s="171"/>
      <c r="C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519" t="s">
        <v>81</v>
      </c>
      <c r="S3" s="171"/>
      <c r="T3" s="520" t="s">
        <v>85</v>
      </c>
      <c r="U3" s="171"/>
      <c r="V3" s="171"/>
      <c r="W3" s="171"/>
      <c r="X3" s="171"/>
      <c r="Y3" s="171"/>
      <c r="Z3" s="171"/>
      <c r="AA3" s="171"/>
    </row>
    <row r="4" spans="1:27" ht="24" customHeight="1" thickBot="1">
      <c r="A4" s="734" t="s">
        <v>6</v>
      </c>
      <c r="B4" s="735" t="s">
        <v>7</v>
      </c>
      <c r="C4" s="734" t="s">
        <v>8</v>
      </c>
      <c r="D4" s="730" t="s">
        <v>83</v>
      </c>
      <c r="E4" s="730" t="s">
        <v>84</v>
      </c>
      <c r="F4" s="734" t="s">
        <v>50</v>
      </c>
      <c r="G4" s="734"/>
      <c r="H4" s="730" t="s">
        <v>82</v>
      </c>
      <c r="I4" s="736" t="s">
        <v>9</v>
      </c>
      <c r="J4" s="736"/>
      <c r="K4" s="736"/>
      <c r="L4" s="736"/>
      <c r="M4" s="736"/>
      <c r="N4" s="736"/>
      <c r="O4" s="736"/>
      <c r="P4" s="736"/>
      <c r="Q4" s="736"/>
      <c r="R4" s="736"/>
      <c r="S4" s="736"/>
      <c r="T4" s="736"/>
      <c r="U4" s="736"/>
      <c r="V4" s="172"/>
      <c r="W4" s="172"/>
      <c r="X4" s="172"/>
      <c r="Y4" s="171"/>
      <c r="Z4" s="171"/>
      <c r="AA4" s="171"/>
    </row>
    <row r="5" spans="1:27" ht="23.25" customHeight="1" thickBot="1">
      <c r="A5" s="734"/>
      <c r="B5" s="735"/>
      <c r="C5" s="734"/>
      <c r="D5" s="731"/>
      <c r="E5" s="731"/>
      <c r="F5" s="176" t="s">
        <v>49</v>
      </c>
      <c r="G5" s="392" t="s">
        <v>10</v>
      </c>
      <c r="H5" s="731"/>
      <c r="I5" s="737" t="s">
        <v>4</v>
      </c>
      <c r="J5" s="738"/>
      <c r="K5" s="176" t="s">
        <v>3</v>
      </c>
      <c r="L5" s="392" t="s">
        <v>0</v>
      </c>
      <c r="M5" s="176" t="s">
        <v>1</v>
      </c>
      <c r="N5" s="392" t="s">
        <v>5</v>
      </c>
      <c r="O5" s="176" t="s">
        <v>11</v>
      </c>
      <c r="P5" s="392" t="s">
        <v>12</v>
      </c>
      <c r="Q5" s="176" t="s">
        <v>13</v>
      </c>
      <c r="R5" s="392" t="s">
        <v>14</v>
      </c>
      <c r="S5" s="393" t="s">
        <v>15</v>
      </c>
      <c r="T5" s="394" t="s">
        <v>16</v>
      </c>
      <c r="U5" s="394" t="s">
        <v>17</v>
      </c>
      <c r="V5" s="174"/>
      <c r="W5" s="174"/>
      <c r="X5" s="174"/>
      <c r="Y5" s="175"/>
      <c r="Z5" s="171"/>
      <c r="AA5" s="171"/>
    </row>
    <row r="6" spans="1:27" ht="15.75" thickBot="1">
      <c r="A6" s="176"/>
      <c r="B6" s="176"/>
      <c r="C6" s="176"/>
      <c r="D6" s="524"/>
      <c r="E6" s="19"/>
      <c r="F6" s="395"/>
      <c r="G6" s="396"/>
      <c r="H6" s="396"/>
      <c r="I6" s="415" t="s">
        <v>49</v>
      </c>
      <c r="J6" s="474" t="s">
        <v>10</v>
      </c>
      <c r="K6" s="397"/>
      <c r="L6" s="398"/>
      <c r="M6" s="397"/>
      <c r="N6" s="398"/>
      <c r="O6" s="397"/>
      <c r="P6" s="398"/>
      <c r="Q6" s="397"/>
      <c r="R6" s="398"/>
      <c r="S6" s="397"/>
      <c r="T6" s="397"/>
      <c r="U6" s="398"/>
      <c r="V6" s="174"/>
      <c r="W6" s="174"/>
      <c r="X6" s="174"/>
      <c r="Y6" s="175"/>
      <c r="Z6" s="171"/>
      <c r="AA6" s="171"/>
    </row>
    <row r="7" spans="1:27" ht="21.75" customHeight="1" thickBot="1">
      <c r="A7" s="233">
        <v>1</v>
      </c>
      <c r="B7" s="178" t="s">
        <v>62</v>
      </c>
      <c r="C7" s="233" t="s">
        <v>19</v>
      </c>
      <c r="D7" s="574">
        <f>D8+D9</f>
        <v>655.8340000000001</v>
      </c>
      <c r="E7" s="574">
        <v>195.87</v>
      </c>
      <c r="F7" s="629">
        <v>532.9430075</v>
      </c>
      <c r="G7" s="378">
        <v>15.637</v>
      </c>
      <c r="H7" s="378">
        <f>I7+K7+L7+M7+N7+O7+P7+Q7+R7+S7</f>
        <v>532.9060000000001</v>
      </c>
      <c r="I7" s="378">
        <v>55.6</v>
      </c>
      <c r="J7" s="499">
        <v>60.712</v>
      </c>
      <c r="K7" s="378">
        <v>60</v>
      </c>
      <c r="L7" s="378">
        <v>60</v>
      </c>
      <c r="M7" s="378">
        <v>70</v>
      </c>
      <c r="N7" s="378">
        <v>95</v>
      </c>
      <c r="O7" s="378">
        <v>82.611</v>
      </c>
      <c r="P7" s="378">
        <v>45</v>
      </c>
      <c r="Q7" s="378">
        <v>45</v>
      </c>
      <c r="R7" s="378">
        <v>19.695</v>
      </c>
      <c r="S7" s="378"/>
      <c r="T7" s="378"/>
      <c r="U7" s="378"/>
      <c r="V7" s="181">
        <f>SUM(I7:U7)</f>
        <v>593.618</v>
      </c>
      <c r="W7" s="182">
        <f>V7-H7</f>
        <v>60.71199999999999</v>
      </c>
      <c r="X7" s="183">
        <f>1020.81-88.25-243.16</f>
        <v>689.4</v>
      </c>
      <c r="Y7" s="175"/>
      <c r="Z7" s="171"/>
      <c r="AA7" s="171"/>
    </row>
    <row r="8" spans="1:27" ht="21" customHeight="1" thickBot="1">
      <c r="A8" s="220"/>
      <c r="B8" s="247" t="s">
        <v>63</v>
      </c>
      <c r="C8" s="220" t="s">
        <v>19</v>
      </c>
      <c r="D8" s="574">
        <v>305.329</v>
      </c>
      <c r="E8" s="574">
        <v>65.26</v>
      </c>
      <c r="F8" s="690">
        <v>168.99244750000003</v>
      </c>
      <c r="G8" s="382"/>
      <c r="H8" s="378">
        <f>I8+K8+L8+M8+N8+O8+P8+Q8+R8+S8</f>
        <v>168.992</v>
      </c>
      <c r="I8" s="382">
        <v>30</v>
      </c>
      <c r="J8" s="691">
        <v>13.190000000000001</v>
      </c>
      <c r="K8" s="458">
        <v>20</v>
      </c>
      <c r="L8" s="458">
        <v>25</v>
      </c>
      <c r="M8" s="458">
        <v>25</v>
      </c>
      <c r="N8" s="458">
        <v>25</v>
      </c>
      <c r="O8" s="458">
        <v>20</v>
      </c>
      <c r="P8" s="458">
        <v>20</v>
      </c>
      <c r="Q8" s="458">
        <v>3.992</v>
      </c>
      <c r="R8" s="458"/>
      <c r="S8" s="458"/>
      <c r="T8" s="458"/>
      <c r="U8" s="458"/>
      <c r="V8" s="182">
        <f aca="true" t="shared" si="0" ref="V8:V32">SUM(I8:U8)</f>
        <v>182.182</v>
      </c>
      <c r="W8" s="183">
        <f aca="true" t="shared" si="1" ref="W8:W32">V8-H8</f>
        <v>13.189999999999998</v>
      </c>
      <c r="X8" s="182"/>
      <c r="Y8" s="175"/>
      <c r="Z8" s="171"/>
      <c r="AA8" s="171"/>
    </row>
    <row r="9" spans="1:27" ht="24" customHeight="1" thickBot="1">
      <c r="A9" s="220"/>
      <c r="B9" s="247" t="s">
        <v>64</v>
      </c>
      <c r="C9" s="220" t="s">
        <v>19</v>
      </c>
      <c r="D9" s="574">
        <v>350.505</v>
      </c>
      <c r="E9" s="574">
        <v>130.61</v>
      </c>
      <c r="F9" s="690">
        <f>248.248036+115.703524</f>
        <v>363.95156000000003</v>
      </c>
      <c r="G9" s="382">
        <v>15.637</v>
      </c>
      <c r="H9" s="378">
        <f>I9+K9+L9+M9+N9+O9+P9+Q9+R9+S9</f>
        <v>248.21099999999998</v>
      </c>
      <c r="I9" s="382">
        <v>85.6</v>
      </c>
      <c r="J9" s="500">
        <v>47.522</v>
      </c>
      <c r="K9" s="458">
        <v>40</v>
      </c>
      <c r="L9" s="135">
        <v>45</v>
      </c>
      <c r="M9" s="458">
        <v>45</v>
      </c>
      <c r="N9" s="458">
        <v>32.611</v>
      </c>
      <c r="O9" s="458"/>
      <c r="P9" s="458"/>
      <c r="Q9" s="458"/>
      <c r="R9" s="458"/>
      <c r="S9" s="458"/>
      <c r="T9" s="378"/>
      <c r="U9" s="378"/>
      <c r="V9" s="182">
        <f t="shared" si="0"/>
        <v>295.73299999999995</v>
      </c>
      <c r="W9" s="183">
        <f t="shared" si="1"/>
        <v>47.52199999999996</v>
      </c>
      <c r="X9" s="183">
        <f>406.1-X7</f>
        <v>-283.29999999999995</v>
      </c>
      <c r="Y9" s="175"/>
      <c r="Z9" s="171"/>
      <c r="AA9" s="171"/>
    </row>
    <row r="10" spans="1:27" ht="22.5" customHeight="1" thickBot="1">
      <c r="A10" s="220"/>
      <c r="B10" s="247" t="s">
        <v>65</v>
      </c>
      <c r="C10" s="220" t="s">
        <v>19</v>
      </c>
      <c r="D10" s="574">
        <v>115.702</v>
      </c>
      <c r="E10" s="574">
        <v>27.885</v>
      </c>
      <c r="F10" s="690">
        <v>108.30444465500001</v>
      </c>
      <c r="G10" s="382"/>
      <c r="H10" s="378">
        <f aca="true" t="shared" si="2" ref="H10:H32">I10+K10+L10+M10+N10+O10+P10+Q10+R10+S10</f>
        <v>108.304</v>
      </c>
      <c r="I10" s="382"/>
      <c r="J10" s="500"/>
      <c r="K10" s="458"/>
      <c r="L10" s="458">
        <v>8.091</v>
      </c>
      <c r="M10" s="458">
        <v>25</v>
      </c>
      <c r="N10" s="135">
        <v>25</v>
      </c>
      <c r="O10" s="458">
        <v>25</v>
      </c>
      <c r="P10" s="458">
        <v>25</v>
      </c>
      <c r="Q10" s="458">
        <v>0.213</v>
      </c>
      <c r="R10" s="692"/>
      <c r="S10" s="458"/>
      <c r="T10" s="692"/>
      <c r="U10" s="692"/>
      <c r="V10" s="182">
        <f t="shared" si="0"/>
        <v>108.304</v>
      </c>
      <c r="W10" s="181">
        <f t="shared" si="1"/>
        <v>0</v>
      </c>
      <c r="X10" s="182"/>
      <c r="Y10" s="175"/>
      <c r="Z10" s="171"/>
      <c r="AA10" s="171"/>
    </row>
    <row r="11" spans="1:27" ht="22.5" customHeight="1" thickBot="1">
      <c r="A11" s="400">
        <v>2</v>
      </c>
      <c r="B11" s="401" t="s">
        <v>23</v>
      </c>
      <c r="C11" s="400" t="s">
        <v>19</v>
      </c>
      <c r="D11" s="574">
        <f>('[2]material потребность'!$L$19+'[2]material потребность'!$L$25)/1000</f>
        <v>70.99144375</v>
      </c>
      <c r="E11" s="574">
        <v>4.267</v>
      </c>
      <c r="F11" s="629">
        <v>70.99144375</v>
      </c>
      <c r="G11" s="378"/>
      <c r="H11" s="378">
        <f t="shared" si="2"/>
        <v>70.991</v>
      </c>
      <c r="I11" s="382"/>
      <c r="J11" s="499"/>
      <c r="K11" s="382"/>
      <c r="L11" s="458">
        <v>13</v>
      </c>
      <c r="M11" s="458">
        <v>13</v>
      </c>
      <c r="N11" s="458">
        <v>13</v>
      </c>
      <c r="O11" s="458">
        <v>13</v>
      </c>
      <c r="P11" s="458">
        <v>13</v>
      </c>
      <c r="Q11" s="458">
        <v>5.991</v>
      </c>
      <c r="R11" s="378"/>
      <c r="S11" s="378"/>
      <c r="T11" s="378"/>
      <c r="U11" s="378"/>
      <c r="V11" s="182">
        <f t="shared" si="0"/>
        <v>70.991</v>
      </c>
      <c r="W11" s="182">
        <f t="shared" si="1"/>
        <v>0</v>
      </c>
      <c r="X11" s="182"/>
      <c r="Y11" s="175"/>
      <c r="Z11" s="171"/>
      <c r="AA11" s="171"/>
    </row>
    <row r="12" spans="1:27" ht="22.5" customHeight="1" thickBot="1">
      <c r="A12" s="233">
        <v>3</v>
      </c>
      <c r="B12" s="178" t="s">
        <v>66</v>
      </c>
      <c r="C12" s="233" t="s">
        <v>19</v>
      </c>
      <c r="D12" s="574">
        <v>618.232</v>
      </c>
      <c r="E12" s="574">
        <v>178.58</v>
      </c>
      <c r="F12" s="629">
        <v>624.243012</v>
      </c>
      <c r="G12" s="378">
        <v>18.45</v>
      </c>
      <c r="H12" s="378">
        <f t="shared" si="2"/>
        <v>575.793</v>
      </c>
      <c r="I12" s="378">
        <v>70</v>
      </c>
      <c r="J12" s="499">
        <v>26.035</v>
      </c>
      <c r="K12" s="378">
        <v>70</v>
      </c>
      <c r="L12" s="378">
        <v>150</v>
      </c>
      <c r="M12" s="378">
        <v>150</v>
      </c>
      <c r="N12" s="378">
        <v>100</v>
      </c>
      <c r="O12" s="378">
        <v>35.793</v>
      </c>
      <c r="P12" s="378"/>
      <c r="Q12" s="378"/>
      <c r="R12" s="378"/>
      <c r="S12" s="378"/>
      <c r="T12" s="378"/>
      <c r="U12" s="378"/>
      <c r="V12" s="182">
        <f t="shared" si="0"/>
        <v>601.828</v>
      </c>
      <c r="W12" s="182">
        <f t="shared" si="1"/>
        <v>26.034999999999968</v>
      </c>
      <c r="X12" s="182"/>
      <c r="Y12" s="175"/>
      <c r="Z12" s="171"/>
      <c r="AA12" s="171"/>
    </row>
    <row r="13" spans="1:27" ht="20.25" customHeight="1" thickBot="1">
      <c r="A13" s="241">
        <f>1+A12</f>
        <v>4</v>
      </c>
      <c r="B13" s="188" t="s">
        <v>25</v>
      </c>
      <c r="C13" s="241" t="s">
        <v>19</v>
      </c>
      <c r="D13" s="574">
        <v>11.081</v>
      </c>
      <c r="E13" s="574">
        <v>0.343</v>
      </c>
      <c r="F13" s="690">
        <v>11.0812275</v>
      </c>
      <c r="G13" s="382"/>
      <c r="H13" s="378">
        <f t="shared" si="2"/>
        <v>11.081</v>
      </c>
      <c r="I13" s="382"/>
      <c r="J13" s="500"/>
      <c r="K13" s="382"/>
      <c r="L13" s="382"/>
      <c r="M13" s="458">
        <v>1</v>
      </c>
      <c r="N13" s="458">
        <v>2.3</v>
      </c>
      <c r="O13" s="458">
        <v>2.3</v>
      </c>
      <c r="P13" s="458">
        <v>2.3</v>
      </c>
      <c r="Q13" s="458">
        <v>2.3</v>
      </c>
      <c r="R13" s="458">
        <v>0.881</v>
      </c>
      <c r="S13" s="382"/>
      <c r="T13" s="692"/>
      <c r="U13" s="692"/>
      <c r="V13" s="182">
        <f t="shared" si="0"/>
        <v>11.081</v>
      </c>
      <c r="W13" s="182">
        <f t="shared" si="1"/>
        <v>0</v>
      </c>
      <c r="X13" s="182"/>
      <c r="Y13" s="175"/>
      <c r="Z13" s="171"/>
      <c r="AA13" s="171"/>
    </row>
    <row r="14" spans="1:27" ht="19.5" customHeight="1" thickBot="1">
      <c r="A14" s="241">
        <f aca="true" t="shared" si="3" ref="A14:A32">1+A13</f>
        <v>5</v>
      </c>
      <c r="B14" s="178" t="s">
        <v>67</v>
      </c>
      <c r="C14" s="233" t="s">
        <v>19</v>
      </c>
      <c r="D14" s="574">
        <v>14.023</v>
      </c>
      <c r="E14" s="574">
        <v>2.209</v>
      </c>
      <c r="F14" s="629">
        <v>13.14179708</v>
      </c>
      <c r="G14" s="378">
        <v>1.166</v>
      </c>
      <c r="H14" s="378">
        <f t="shared" si="2"/>
        <v>10.975999999999999</v>
      </c>
      <c r="I14" s="382"/>
      <c r="J14" s="499"/>
      <c r="K14" s="378"/>
      <c r="L14" s="378"/>
      <c r="M14" s="378">
        <v>1</v>
      </c>
      <c r="N14" s="378">
        <v>2.3</v>
      </c>
      <c r="O14" s="378">
        <v>2.3</v>
      </c>
      <c r="P14" s="378">
        <v>2.3</v>
      </c>
      <c r="Q14" s="378">
        <v>2.3</v>
      </c>
      <c r="R14" s="378">
        <v>0.776</v>
      </c>
      <c r="S14" s="378"/>
      <c r="T14" s="378"/>
      <c r="U14" s="378"/>
      <c r="V14" s="182">
        <f>SUM(I14:U14)</f>
        <v>10.975999999999999</v>
      </c>
      <c r="W14" s="182">
        <f t="shared" si="1"/>
        <v>0</v>
      </c>
      <c r="X14" s="182"/>
      <c r="Y14" s="175"/>
      <c r="Z14" s="171"/>
      <c r="AA14" s="171"/>
    </row>
    <row r="15" spans="1:27" ht="22.5" customHeight="1" thickBot="1">
      <c r="A15" s="241">
        <f t="shared" si="3"/>
        <v>6</v>
      </c>
      <c r="B15" s="188" t="s">
        <v>27</v>
      </c>
      <c r="C15" s="241" t="s">
        <v>19</v>
      </c>
      <c r="D15" s="574">
        <v>4.28</v>
      </c>
      <c r="E15" s="574">
        <v>0.038</v>
      </c>
      <c r="F15" s="690">
        <v>3.65</v>
      </c>
      <c r="G15" s="382"/>
      <c r="H15" s="378">
        <f t="shared" si="2"/>
        <v>3.15</v>
      </c>
      <c r="I15" s="382"/>
      <c r="J15" s="500"/>
      <c r="K15" s="458">
        <v>0.5</v>
      </c>
      <c r="L15" s="458"/>
      <c r="M15" s="458">
        <v>1</v>
      </c>
      <c r="N15" s="458"/>
      <c r="O15" s="135">
        <v>1</v>
      </c>
      <c r="P15" s="135"/>
      <c r="Q15" s="458">
        <v>0.65</v>
      </c>
      <c r="R15" s="458"/>
      <c r="S15" s="382"/>
      <c r="T15" s="692"/>
      <c r="U15" s="692"/>
      <c r="V15" s="182">
        <f t="shared" si="0"/>
        <v>3.15</v>
      </c>
      <c r="W15" s="182">
        <f t="shared" si="1"/>
        <v>0</v>
      </c>
      <c r="X15" s="182"/>
      <c r="Y15" s="175"/>
      <c r="Z15" s="171"/>
      <c r="AA15" s="171"/>
    </row>
    <row r="16" spans="1:27" ht="20.25" customHeight="1" thickBot="1">
      <c r="A16" s="241">
        <f t="shared" si="3"/>
        <v>7</v>
      </c>
      <c r="B16" s="178" t="s">
        <v>28</v>
      </c>
      <c r="C16" s="233" t="s">
        <v>29</v>
      </c>
      <c r="D16" s="574">
        <v>8.209</v>
      </c>
      <c r="E16" s="574">
        <v>4.188</v>
      </c>
      <c r="F16" s="629">
        <v>6.91783</v>
      </c>
      <c r="G16" s="378">
        <v>1.209</v>
      </c>
      <c r="H16" s="378">
        <f t="shared" si="2"/>
        <v>5.209</v>
      </c>
      <c r="I16" s="378">
        <v>1</v>
      </c>
      <c r="J16" s="500">
        <v>3.324</v>
      </c>
      <c r="K16" s="378">
        <v>1</v>
      </c>
      <c r="L16" s="378">
        <v>1</v>
      </c>
      <c r="M16" s="378">
        <v>1</v>
      </c>
      <c r="N16" s="378">
        <v>1</v>
      </c>
      <c r="O16" s="378">
        <v>0.209</v>
      </c>
      <c r="P16" s="378"/>
      <c r="Q16" s="378"/>
      <c r="R16" s="378"/>
      <c r="S16" s="378"/>
      <c r="T16" s="378"/>
      <c r="U16" s="378"/>
      <c r="V16" s="182">
        <f t="shared" si="0"/>
        <v>8.533</v>
      </c>
      <c r="W16" s="182">
        <f t="shared" si="1"/>
        <v>3.324</v>
      </c>
      <c r="X16" s="182"/>
      <c r="Y16" s="175"/>
      <c r="Z16" s="171"/>
      <c r="AA16" s="171"/>
    </row>
    <row r="17" spans="1:27" ht="21.75" customHeight="1" thickBot="1">
      <c r="A17" s="241">
        <f t="shared" si="3"/>
        <v>8</v>
      </c>
      <c r="B17" s="188" t="s">
        <v>30</v>
      </c>
      <c r="C17" s="241" t="s">
        <v>31</v>
      </c>
      <c r="D17" s="574">
        <v>1276.461</v>
      </c>
      <c r="E17" s="574">
        <v>297.581</v>
      </c>
      <c r="F17" s="690">
        <v>978.87943</v>
      </c>
      <c r="G17" s="382">
        <v>28</v>
      </c>
      <c r="H17" s="378">
        <f t="shared" si="2"/>
        <v>950.879</v>
      </c>
      <c r="I17" s="382">
        <v>100</v>
      </c>
      <c r="J17" s="500">
        <v>39.4</v>
      </c>
      <c r="K17" s="693">
        <v>100</v>
      </c>
      <c r="L17" s="693">
        <v>175</v>
      </c>
      <c r="M17" s="693">
        <v>175</v>
      </c>
      <c r="N17" s="693">
        <v>175</v>
      </c>
      <c r="O17" s="693">
        <v>175</v>
      </c>
      <c r="P17" s="693">
        <v>50.879</v>
      </c>
      <c r="Q17" s="692"/>
      <c r="R17" s="692"/>
      <c r="S17" s="382"/>
      <c r="T17" s="692"/>
      <c r="U17" s="692"/>
      <c r="V17" s="182">
        <f t="shared" si="0"/>
        <v>990.279</v>
      </c>
      <c r="W17" s="182">
        <f t="shared" si="1"/>
        <v>39.39999999999998</v>
      </c>
      <c r="X17" s="182"/>
      <c r="Y17" s="175"/>
      <c r="Z17" s="171"/>
      <c r="AA17" s="171"/>
    </row>
    <row r="18" spans="1:27" ht="21.75" customHeight="1" thickBot="1">
      <c r="A18" s="241">
        <f t="shared" si="3"/>
        <v>9</v>
      </c>
      <c r="B18" s="188" t="s">
        <v>75</v>
      </c>
      <c r="C18" s="241" t="s">
        <v>31</v>
      </c>
      <c r="D18" s="574">
        <v>222.21</v>
      </c>
      <c r="E18" s="574">
        <v>0</v>
      </c>
      <c r="F18" s="690">
        <v>222.21</v>
      </c>
      <c r="G18" s="382"/>
      <c r="H18" s="378">
        <f t="shared" si="2"/>
        <v>222.20999999999998</v>
      </c>
      <c r="I18" s="382"/>
      <c r="J18" s="500"/>
      <c r="K18" s="382"/>
      <c r="L18" s="382"/>
      <c r="M18" s="382"/>
      <c r="N18" s="694"/>
      <c r="O18" s="458">
        <v>110</v>
      </c>
      <c r="P18" s="135">
        <v>112.21</v>
      </c>
      <c r="Q18" s="692"/>
      <c r="R18" s="692"/>
      <c r="S18" s="382"/>
      <c r="T18" s="692"/>
      <c r="U18" s="692"/>
      <c r="V18" s="182"/>
      <c r="W18" s="182"/>
      <c r="X18" s="182"/>
      <c r="Y18" s="175"/>
      <c r="Z18" s="171"/>
      <c r="AA18" s="171"/>
    </row>
    <row r="19" spans="1:27" ht="21" customHeight="1" thickBot="1">
      <c r="A19" s="241">
        <f t="shared" si="3"/>
        <v>10</v>
      </c>
      <c r="B19" s="178" t="s">
        <v>32</v>
      </c>
      <c r="C19" s="233" t="s">
        <v>2</v>
      </c>
      <c r="D19" s="574">
        <v>1923</v>
      </c>
      <c r="E19" s="574">
        <v>0</v>
      </c>
      <c r="F19" s="629">
        <v>1923</v>
      </c>
      <c r="G19" s="378"/>
      <c r="H19" s="378">
        <f t="shared" si="2"/>
        <v>1923</v>
      </c>
      <c r="I19" s="378"/>
      <c r="J19" s="499"/>
      <c r="K19" s="378"/>
      <c r="L19" s="378"/>
      <c r="M19" s="378"/>
      <c r="N19" s="378"/>
      <c r="O19" s="378"/>
      <c r="P19" s="378">
        <v>1923</v>
      </c>
      <c r="Q19" s="378"/>
      <c r="R19" s="378"/>
      <c r="S19" s="378"/>
      <c r="T19" s="378"/>
      <c r="U19" s="378"/>
      <c r="V19" s="182">
        <f t="shared" si="0"/>
        <v>1923</v>
      </c>
      <c r="W19" s="182">
        <f t="shared" si="1"/>
        <v>0</v>
      </c>
      <c r="X19" s="182"/>
      <c r="Y19" s="175"/>
      <c r="Z19" s="171"/>
      <c r="AA19" s="171"/>
    </row>
    <row r="20" spans="1:27" ht="19.5" customHeight="1" thickBot="1">
      <c r="A20" s="241">
        <f t="shared" si="3"/>
        <v>11</v>
      </c>
      <c r="B20" s="188" t="s">
        <v>33</v>
      </c>
      <c r="C20" s="241" t="s">
        <v>19</v>
      </c>
      <c r="D20" s="574">
        <v>1.002</v>
      </c>
      <c r="E20" s="574">
        <v>0</v>
      </c>
      <c r="F20" s="690">
        <v>24.48</v>
      </c>
      <c r="G20" s="382"/>
      <c r="H20" s="378">
        <f t="shared" si="2"/>
        <v>24.48</v>
      </c>
      <c r="I20" s="382"/>
      <c r="J20" s="500"/>
      <c r="K20" s="693"/>
      <c r="L20" s="693"/>
      <c r="M20" s="458"/>
      <c r="N20" s="458"/>
      <c r="O20" s="458"/>
      <c r="P20" s="135">
        <v>24.48</v>
      </c>
      <c r="Q20" s="692"/>
      <c r="R20" s="692"/>
      <c r="S20" s="382"/>
      <c r="T20" s="692"/>
      <c r="U20" s="692"/>
      <c r="V20" s="182">
        <f t="shared" si="0"/>
        <v>24.48</v>
      </c>
      <c r="W20" s="182">
        <f t="shared" si="1"/>
        <v>0</v>
      </c>
      <c r="X20" s="182"/>
      <c r="Y20" s="175"/>
      <c r="Z20" s="171"/>
      <c r="AA20" s="171"/>
    </row>
    <row r="21" spans="1:27" ht="20.25" customHeight="1" thickBot="1">
      <c r="A21" s="241">
        <f t="shared" si="3"/>
        <v>12</v>
      </c>
      <c r="B21" s="178" t="s">
        <v>34</v>
      </c>
      <c r="C21" s="233" t="s">
        <v>35</v>
      </c>
      <c r="D21" s="574">
        <v>1026</v>
      </c>
      <c r="E21" s="574">
        <v>0</v>
      </c>
      <c r="F21" s="629">
        <v>1154</v>
      </c>
      <c r="G21" s="378"/>
      <c r="H21" s="378">
        <f t="shared" si="2"/>
        <v>1154</v>
      </c>
      <c r="I21" s="378"/>
      <c r="J21" s="499"/>
      <c r="K21" s="378"/>
      <c r="L21" s="378"/>
      <c r="M21" s="378">
        <v>600</v>
      </c>
      <c r="N21" s="378"/>
      <c r="O21" s="378"/>
      <c r="P21" s="378">
        <v>554</v>
      </c>
      <c r="Q21" s="378"/>
      <c r="R21" s="378"/>
      <c r="S21" s="378"/>
      <c r="T21" s="378"/>
      <c r="U21" s="378"/>
      <c r="V21" s="182">
        <f t="shared" si="0"/>
        <v>1154</v>
      </c>
      <c r="W21" s="182">
        <f t="shared" si="1"/>
        <v>0</v>
      </c>
      <c r="X21" s="182"/>
      <c r="Y21" s="175"/>
      <c r="Z21" s="171"/>
      <c r="AA21" s="171"/>
    </row>
    <row r="22" spans="1:27" ht="24" customHeight="1" thickBot="1">
      <c r="A22" s="241">
        <f t="shared" si="3"/>
        <v>13</v>
      </c>
      <c r="B22" s="247" t="s">
        <v>36</v>
      </c>
      <c r="C22" s="220" t="s">
        <v>2</v>
      </c>
      <c r="D22" s="574">
        <v>585</v>
      </c>
      <c r="E22" s="574">
        <v>0</v>
      </c>
      <c r="F22" s="690">
        <v>487</v>
      </c>
      <c r="G22" s="382"/>
      <c r="H22" s="378">
        <f t="shared" si="2"/>
        <v>487</v>
      </c>
      <c r="I22" s="382"/>
      <c r="J22" s="500"/>
      <c r="K22" s="693"/>
      <c r="L22" s="693"/>
      <c r="M22" s="458"/>
      <c r="N22" s="458"/>
      <c r="O22" s="458"/>
      <c r="P22" s="458">
        <v>487</v>
      </c>
      <c r="Q22" s="692"/>
      <c r="R22" s="692"/>
      <c r="S22" s="382"/>
      <c r="T22" s="692"/>
      <c r="U22" s="692"/>
      <c r="V22" s="182">
        <f t="shared" si="0"/>
        <v>487</v>
      </c>
      <c r="W22" s="182">
        <f t="shared" si="1"/>
        <v>0</v>
      </c>
      <c r="X22" s="182"/>
      <c r="Y22" s="201"/>
      <c r="Z22" s="171"/>
      <c r="AA22" s="171"/>
    </row>
    <row r="23" spans="1:27" ht="20.25" customHeight="1" thickBot="1">
      <c r="A23" s="241">
        <f t="shared" si="3"/>
        <v>14</v>
      </c>
      <c r="B23" s="178" t="s">
        <v>37</v>
      </c>
      <c r="C23" s="233" t="s">
        <v>2</v>
      </c>
      <c r="D23" s="574">
        <v>270</v>
      </c>
      <c r="E23" s="574">
        <v>0</v>
      </c>
      <c r="F23" s="629">
        <v>270</v>
      </c>
      <c r="G23" s="378"/>
      <c r="H23" s="378">
        <f t="shared" si="2"/>
        <v>270</v>
      </c>
      <c r="I23" s="378"/>
      <c r="J23" s="499"/>
      <c r="K23" s="378"/>
      <c r="L23" s="378"/>
      <c r="M23" s="378"/>
      <c r="N23" s="378"/>
      <c r="O23" s="378">
        <v>270</v>
      </c>
      <c r="P23" s="378"/>
      <c r="Q23" s="378"/>
      <c r="R23" s="378"/>
      <c r="S23" s="378"/>
      <c r="T23" s="378"/>
      <c r="U23" s="378"/>
      <c r="V23" s="182">
        <f t="shared" si="0"/>
        <v>270</v>
      </c>
      <c r="W23" s="182">
        <f t="shared" si="1"/>
        <v>0</v>
      </c>
      <c r="X23" s="182"/>
      <c r="Y23" s="175"/>
      <c r="Z23" s="171"/>
      <c r="AA23" s="171"/>
    </row>
    <row r="24" spans="1:27" ht="24" customHeight="1" thickBot="1">
      <c r="A24" s="241">
        <f t="shared" si="3"/>
        <v>15</v>
      </c>
      <c r="B24" s="247" t="s">
        <v>38</v>
      </c>
      <c r="C24" s="220" t="s">
        <v>35</v>
      </c>
      <c r="D24" s="574">
        <f>45656+1077</f>
        <v>46733</v>
      </c>
      <c r="E24" s="574">
        <f>D24*0.8</f>
        <v>37386.4</v>
      </c>
      <c r="F24" s="690">
        <v>46733</v>
      </c>
      <c r="G24" s="382">
        <v>36524.8</v>
      </c>
      <c r="H24" s="378">
        <f t="shared" si="2"/>
        <v>10208.2</v>
      </c>
      <c r="I24" s="382"/>
      <c r="J24" s="500"/>
      <c r="K24" s="382"/>
      <c r="L24" s="382"/>
      <c r="M24" s="458">
        <v>10208.2</v>
      </c>
      <c r="N24" s="694"/>
      <c r="O24" s="382"/>
      <c r="P24" s="382"/>
      <c r="Q24" s="692"/>
      <c r="R24" s="692"/>
      <c r="S24" s="382"/>
      <c r="T24" s="692"/>
      <c r="U24" s="692"/>
      <c r="V24" s="182">
        <f t="shared" si="0"/>
        <v>10208.2</v>
      </c>
      <c r="W24" s="182">
        <f t="shared" si="1"/>
        <v>0</v>
      </c>
      <c r="X24" s="182"/>
      <c r="Y24" s="175"/>
      <c r="Z24" s="171"/>
      <c r="AA24" s="171"/>
    </row>
    <row r="25" spans="1:27" ht="26.25" thickBot="1">
      <c r="A25" s="241">
        <f t="shared" si="3"/>
        <v>16</v>
      </c>
      <c r="B25" s="178" t="s">
        <v>39</v>
      </c>
      <c r="C25" s="233" t="s">
        <v>2</v>
      </c>
      <c r="D25" s="574">
        <v>540</v>
      </c>
      <c r="E25" s="574">
        <v>0</v>
      </c>
      <c r="F25" s="629">
        <v>359</v>
      </c>
      <c r="G25" s="378"/>
      <c r="H25" s="378">
        <f t="shared" si="2"/>
        <v>359</v>
      </c>
      <c r="I25" s="378"/>
      <c r="J25" s="499"/>
      <c r="K25" s="378"/>
      <c r="L25" s="378"/>
      <c r="M25" s="378"/>
      <c r="N25" s="695"/>
      <c r="O25" s="378"/>
      <c r="P25" s="378">
        <v>359</v>
      </c>
      <c r="Q25" s="378"/>
      <c r="R25" s="378"/>
      <c r="S25" s="378"/>
      <c r="T25" s="378"/>
      <c r="U25" s="378"/>
      <c r="V25" s="182">
        <f t="shared" si="0"/>
        <v>359</v>
      </c>
      <c r="W25" s="182">
        <f t="shared" si="1"/>
        <v>0</v>
      </c>
      <c r="X25" s="182"/>
      <c r="Y25" s="175"/>
      <c r="Z25" s="171"/>
      <c r="AA25" s="171"/>
    </row>
    <row r="26" spans="1:27" ht="22.5" customHeight="1" thickBot="1">
      <c r="A26" s="241">
        <f t="shared" si="3"/>
        <v>17</v>
      </c>
      <c r="B26" s="247" t="s">
        <v>40</v>
      </c>
      <c r="C26" s="220" t="s">
        <v>41</v>
      </c>
      <c r="D26" s="574">
        <v>216</v>
      </c>
      <c r="E26" s="574">
        <v>0</v>
      </c>
      <c r="F26" s="690">
        <v>216</v>
      </c>
      <c r="G26" s="382"/>
      <c r="H26" s="378">
        <f t="shared" si="2"/>
        <v>216</v>
      </c>
      <c r="I26" s="382"/>
      <c r="J26" s="500"/>
      <c r="K26" s="382"/>
      <c r="L26" s="382"/>
      <c r="M26" s="382"/>
      <c r="N26" s="694"/>
      <c r="O26" s="458">
        <v>100</v>
      </c>
      <c r="P26" s="458">
        <v>116</v>
      </c>
      <c r="Q26" s="692"/>
      <c r="R26" s="692"/>
      <c r="S26" s="382"/>
      <c r="T26" s="692"/>
      <c r="U26" s="692"/>
      <c r="V26" s="182">
        <f t="shared" si="0"/>
        <v>216</v>
      </c>
      <c r="W26" s="182">
        <f t="shared" si="1"/>
        <v>0</v>
      </c>
      <c r="X26" s="182"/>
      <c r="Y26" s="175"/>
      <c r="Z26" s="171"/>
      <c r="AA26" s="171"/>
    </row>
    <row r="27" spans="1:27" ht="23.25" customHeight="1" thickBot="1">
      <c r="A27" s="241">
        <f t="shared" si="3"/>
        <v>18</v>
      </c>
      <c r="B27" s="247" t="s">
        <v>68</v>
      </c>
      <c r="C27" s="220" t="s">
        <v>41</v>
      </c>
      <c r="D27" s="574">
        <v>0</v>
      </c>
      <c r="E27" s="574">
        <v>0</v>
      </c>
      <c r="F27" s="690"/>
      <c r="G27" s="382"/>
      <c r="H27" s="378">
        <f t="shared" si="2"/>
        <v>0</v>
      </c>
      <c r="I27" s="382"/>
      <c r="J27" s="500"/>
      <c r="K27" s="382"/>
      <c r="L27" s="382"/>
      <c r="M27" s="382"/>
      <c r="N27" s="694"/>
      <c r="O27" s="382"/>
      <c r="P27" s="382"/>
      <c r="Q27" s="692"/>
      <c r="R27" s="692"/>
      <c r="S27" s="382"/>
      <c r="T27" s="692"/>
      <c r="U27" s="692"/>
      <c r="V27" s="182">
        <f t="shared" si="0"/>
        <v>0</v>
      </c>
      <c r="W27" s="182">
        <f t="shared" si="1"/>
        <v>0</v>
      </c>
      <c r="X27" s="182"/>
      <c r="Y27" s="175"/>
      <c r="Z27" s="171"/>
      <c r="AA27" s="171"/>
    </row>
    <row r="28" spans="1:27" ht="21" customHeight="1" thickBot="1">
      <c r="A28" s="241">
        <f t="shared" si="3"/>
        <v>19</v>
      </c>
      <c r="B28" s="178" t="s">
        <v>43</v>
      </c>
      <c r="C28" s="233" t="s">
        <v>19</v>
      </c>
      <c r="D28" s="574">
        <v>0.37</v>
      </c>
      <c r="E28" s="574">
        <v>0</v>
      </c>
      <c r="F28" s="629"/>
      <c r="G28" s="378"/>
      <c r="H28" s="378">
        <f t="shared" si="2"/>
        <v>0</v>
      </c>
      <c r="I28" s="378"/>
      <c r="J28" s="499"/>
      <c r="K28" s="378"/>
      <c r="L28" s="378"/>
      <c r="M28" s="378"/>
      <c r="N28" s="695"/>
      <c r="O28" s="378"/>
      <c r="P28" s="378"/>
      <c r="Q28" s="378"/>
      <c r="R28" s="378"/>
      <c r="S28" s="378"/>
      <c r="T28" s="378"/>
      <c r="U28" s="378"/>
      <c r="V28" s="182">
        <f t="shared" si="0"/>
        <v>0</v>
      </c>
      <c r="W28" s="182">
        <f t="shared" si="1"/>
        <v>0</v>
      </c>
      <c r="X28" s="182"/>
      <c r="Y28" s="175"/>
      <c r="Z28" s="171"/>
      <c r="AA28" s="171"/>
    </row>
    <row r="29" spans="1:27" ht="25.5" customHeight="1" thickBot="1">
      <c r="A29" s="241">
        <f t="shared" si="3"/>
        <v>20</v>
      </c>
      <c r="B29" s="247" t="s">
        <v>44</v>
      </c>
      <c r="C29" s="220" t="s">
        <v>45</v>
      </c>
      <c r="D29" s="574">
        <v>0</v>
      </c>
      <c r="E29" s="574">
        <v>0</v>
      </c>
      <c r="F29" s="690"/>
      <c r="G29" s="382"/>
      <c r="H29" s="378">
        <f t="shared" si="2"/>
        <v>0</v>
      </c>
      <c r="I29" s="382"/>
      <c r="J29" s="500"/>
      <c r="K29" s="382"/>
      <c r="L29" s="382"/>
      <c r="M29" s="382"/>
      <c r="N29" s="694"/>
      <c r="O29" s="382"/>
      <c r="P29" s="382"/>
      <c r="Q29" s="692"/>
      <c r="R29" s="692"/>
      <c r="S29" s="382"/>
      <c r="T29" s="692"/>
      <c r="U29" s="692"/>
      <c r="V29" s="182">
        <f t="shared" si="0"/>
        <v>0</v>
      </c>
      <c r="W29" s="182">
        <f t="shared" si="1"/>
        <v>0</v>
      </c>
      <c r="X29" s="182"/>
      <c r="Y29" s="175"/>
      <c r="Z29" s="171"/>
      <c r="AA29" s="171"/>
    </row>
    <row r="30" spans="1:27" ht="27" customHeight="1" thickBot="1">
      <c r="A30" s="241">
        <f t="shared" si="3"/>
        <v>21</v>
      </c>
      <c r="B30" s="247" t="s">
        <v>46</v>
      </c>
      <c r="C30" s="220" t="s">
        <v>19</v>
      </c>
      <c r="D30" s="574">
        <v>0</v>
      </c>
      <c r="E30" s="574">
        <v>0</v>
      </c>
      <c r="F30" s="690"/>
      <c r="G30" s="382"/>
      <c r="H30" s="378">
        <f t="shared" si="2"/>
        <v>0</v>
      </c>
      <c r="I30" s="382"/>
      <c r="J30" s="500"/>
      <c r="K30" s="382"/>
      <c r="L30" s="382"/>
      <c r="M30" s="382"/>
      <c r="N30" s="694"/>
      <c r="O30" s="382"/>
      <c r="P30" s="382"/>
      <c r="Q30" s="692"/>
      <c r="R30" s="692"/>
      <c r="S30" s="382"/>
      <c r="T30" s="692"/>
      <c r="U30" s="692"/>
      <c r="V30" s="182">
        <f t="shared" si="0"/>
        <v>0</v>
      </c>
      <c r="W30" s="182">
        <f t="shared" si="1"/>
        <v>0</v>
      </c>
      <c r="X30" s="182"/>
      <c r="Y30" s="175"/>
      <c r="Z30" s="171"/>
      <c r="AA30" s="171"/>
    </row>
    <row r="31" spans="1:27" ht="19.5" customHeight="1" thickBot="1">
      <c r="A31" s="241">
        <f t="shared" si="3"/>
        <v>22</v>
      </c>
      <c r="B31" s="247" t="s">
        <v>47</v>
      </c>
      <c r="C31" s="220" t="s">
        <v>19</v>
      </c>
      <c r="D31" s="574">
        <v>0</v>
      </c>
      <c r="E31" s="574">
        <v>0</v>
      </c>
      <c r="F31" s="690"/>
      <c r="G31" s="382"/>
      <c r="H31" s="378">
        <f t="shared" si="2"/>
        <v>0</v>
      </c>
      <c r="I31" s="382"/>
      <c r="J31" s="500"/>
      <c r="K31" s="382"/>
      <c r="L31" s="382"/>
      <c r="M31" s="382"/>
      <c r="N31" s="694"/>
      <c r="O31" s="382"/>
      <c r="P31" s="382"/>
      <c r="Q31" s="692"/>
      <c r="R31" s="692"/>
      <c r="S31" s="382"/>
      <c r="T31" s="692"/>
      <c r="U31" s="692"/>
      <c r="V31" s="182">
        <f t="shared" si="0"/>
        <v>0</v>
      </c>
      <c r="W31" s="182">
        <f t="shared" si="1"/>
        <v>0</v>
      </c>
      <c r="X31" s="182"/>
      <c r="Y31" s="175"/>
      <c r="Z31" s="171"/>
      <c r="AA31" s="171"/>
    </row>
    <row r="32" spans="1:27" ht="22.5" customHeight="1" thickBot="1">
      <c r="A32" s="241">
        <f t="shared" si="3"/>
        <v>23</v>
      </c>
      <c r="B32" s="247" t="s">
        <v>48</v>
      </c>
      <c r="C32" s="220" t="s">
        <v>41</v>
      </c>
      <c r="D32" s="574">
        <f>'[2]material потребность'!$L$43</f>
        <v>269</v>
      </c>
      <c r="E32" s="574">
        <v>34</v>
      </c>
      <c r="F32" s="690">
        <v>269</v>
      </c>
      <c r="G32" s="382"/>
      <c r="H32" s="696">
        <f t="shared" si="2"/>
        <v>269</v>
      </c>
      <c r="I32" s="693">
        <v>30</v>
      </c>
      <c r="J32" s="500"/>
      <c r="K32" s="693">
        <v>40</v>
      </c>
      <c r="L32" s="693">
        <v>40</v>
      </c>
      <c r="M32" s="693">
        <v>40</v>
      </c>
      <c r="N32" s="693">
        <v>40</v>
      </c>
      <c r="O32" s="693">
        <v>40</v>
      </c>
      <c r="P32" s="693">
        <v>30</v>
      </c>
      <c r="Q32" s="693">
        <v>9</v>
      </c>
      <c r="R32" s="692"/>
      <c r="S32" s="382"/>
      <c r="T32" s="692"/>
      <c r="U32" s="692"/>
      <c r="V32" s="182">
        <f t="shared" si="0"/>
        <v>269</v>
      </c>
      <c r="W32" s="182">
        <f t="shared" si="1"/>
        <v>0</v>
      </c>
      <c r="X32" s="182"/>
      <c r="Y32" s="171"/>
      <c r="Z32" s="171"/>
      <c r="AA32" s="171"/>
    </row>
    <row r="33" spans="1:24" ht="15">
      <c r="A33" s="6"/>
      <c r="B33" s="7"/>
      <c r="C33" s="8"/>
      <c r="D33" s="8"/>
      <c r="E33" s="8"/>
      <c r="F33" s="9"/>
      <c r="G33" s="10"/>
      <c r="H33" s="10"/>
      <c r="I33" s="9"/>
      <c r="J33" s="11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15">
      <c r="A34" s="6"/>
      <c r="B34" s="732"/>
      <c r="C34" s="732"/>
      <c r="D34" s="732"/>
      <c r="E34" s="732"/>
      <c r="F34" s="732"/>
      <c r="G34" s="732"/>
      <c r="H34" s="732"/>
      <c r="I34" s="9"/>
      <c r="J34" s="11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5">
      <c r="A35" s="6"/>
      <c r="B35" s="7"/>
      <c r="C35" s="8"/>
      <c r="F35" s="9"/>
      <c r="G35" s="10"/>
      <c r="H35" s="10"/>
      <c r="I35" s="9"/>
      <c r="J35" s="11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</sheetData>
  <sheetProtection/>
  <mergeCells count="11">
    <mergeCell ref="I5:J5"/>
    <mergeCell ref="D4:D5"/>
    <mergeCell ref="E4:E5"/>
    <mergeCell ref="B34:H34"/>
    <mergeCell ref="A1:AA2"/>
    <mergeCell ref="A4:A5"/>
    <mergeCell ref="B4:B5"/>
    <mergeCell ref="C4:C5"/>
    <mergeCell ref="F4:G4"/>
    <mergeCell ref="H4:H5"/>
    <mergeCell ref="I4:U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6"/>
  <sheetViews>
    <sheetView zoomScalePageLayoutView="0" workbookViewId="0" topLeftCell="A4">
      <selection activeCell="O9" sqref="O9:Q9"/>
    </sheetView>
  </sheetViews>
  <sheetFormatPr defaultColWidth="9.00390625" defaultRowHeight="12.75"/>
  <cols>
    <col min="1" max="1" width="4.00390625" style="0" customWidth="1"/>
    <col min="2" max="2" width="36.125" style="0" customWidth="1"/>
    <col min="4" max="4" width="19.75390625" style="0" customWidth="1"/>
    <col min="5" max="5" width="17.375" style="0" customWidth="1"/>
    <col min="6" max="6" width="10.25390625" style="0" hidden="1" customWidth="1"/>
    <col min="7" max="7" width="9.875" style="0" hidden="1" customWidth="1"/>
    <col min="8" max="8" width="10.125" style="0" customWidth="1"/>
    <col min="13" max="13" width="10.00390625" style="0" customWidth="1"/>
    <col min="17" max="17" width="7.75390625" style="0" customWidth="1"/>
    <col min="18" max="18" width="8.625" style="0" customWidth="1"/>
    <col min="21" max="21" width="9.75390625" style="0" customWidth="1"/>
  </cols>
  <sheetData>
    <row r="1" spans="1:27" ht="13.5" customHeight="1">
      <c r="A1" s="733" t="s">
        <v>76</v>
      </c>
      <c r="B1" s="733"/>
      <c r="C1" s="733"/>
      <c r="D1" s="733"/>
      <c r="E1" s="733"/>
      <c r="F1" s="733"/>
      <c r="G1" s="733"/>
      <c r="H1" s="733"/>
      <c r="I1" s="733"/>
      <c r="J1" s="733"/>
      <c r="K1" s="733"/>
      <c r="L1" s="733"/>
      <c r="M1" s="733"/>
      <c r="N1" s="733"/>
      <c r="O1" s="733"/>
      <c r="P1" s="733"/>
      <c r="Q1" s="733"/>
      <c r="R1" s="733"/>
      <c r="S1" s="733"/>
      <c r="T1" s="733"/>
      <c r="U1" s="733"/>
      <c r="V1" s="733"/>
      <c r="W1" s="733"/>
      <c r="X1" s="733"/>
      <c r="Y1" s="733"/>
      <c r="Z1" s="733"/>
      <c r="AA1" s="733"/>
    </row>
    <row r="2" spans="1:27" ht="33" customHeight="1">
      <c r="A2" s="733"/>
      <c r="B2" s="733"/>
      <c r="C2" s="733"/>
      <c r="D2" s="733"/>
      <c r="E2" s="733"/>
      <c r="F2" s="733"/>
      <c r="G2" s="733"/>
      <c r="H2" s="733"/>
      <c r="I2" s="733"/>
      <c r="J2" s="733"/>
      <c r="K2" s="733"/>
      <c r="L2" s="733"/>
      <c r="M2" s="733"/>
      <c r="N2" s="733"/>
      <c r="O2" s="733"/>
      <c r="P2" s="733"/>
      <c r="Q2" s="733"/>
      <c r="R2" s="733"/>
      <c r="S2" s="733"/>
      <c r="T2" s="733"/>
      <c r="U2" s="733"/>
      <c r="V2" s="733"/>
      <c r="W2" s="733"/>
      <c r="X2" s="733"/>
      <c r="Y2" s="733"/>
      <c r="Z2" s="733"/>
      <c r="AA2" s="733"/>
    </row>
    <row r="3" spans="1:27" ht="14.25" customHeight="1" thickBot="1">
      <c r="A3" s="171"/>
      <c r="B3" s="171"/>
      <c r="C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519" t="s">
        <v>81</v>
      </c>
      <c r="S3" s="171"/>
      <c r="T3" s="520" t="s">
        <v>85</v>
      </c>
      <c r="U3" s="171"/>
      <c r="V3" s="171"/>
      <c r="W3" s="171"/>
      <c r="X3" s="171"/>
      <c r="Y3" s="171"/>
      <c r="Z3" s="171"/>
      <c r="AA3" s="171"/>
    </row>
    <row r="4" spans="1:27" ht="24" customHeight="1" thickBot="1">
      <c r="A4" s="734" t="s">
        <v>6</v>
      </c>
      <c r="B4" s="735" t="s">
        <v>7</v>
      </c>
      <c r="C4" s="734" t="s">
        <v>8</v>
      </c>
      <c r="D4" s="730" t="s">
        <v>83</v>
      </c>
      <c r="E4" s="730" t="s">
        <v>84</v>
      </c>
      <c r="F4" s="734" t="s">
        <v>50</v>
      </c>
      <c r="G4" s="734"/>
      <c r="H4" s="730" t="s">
        <v>82</v>
      </c>
      <c r="I4" s="736" t="s">
        <v>9</v>
      </c>
      <c r="J4" s="736"/>
      <c r="K4" s="736"/>
      <c r="L4" s="736"/>
      <c r="M4" s="736"/>
      <c r="N4" s="736"/>
      <c r="O4" s="736"/>
      <c r="P4" s="736"/>
      <c r="Q4" s="736"/>
      <c r="R4" s="736"/>
      <c r="S4" s="736"/>
      <c r="T4" s="736"/>
      <c r="U4" s="736"/>
      <c r="V4" s="172"/>
      <c r="W4" s="172"/>
      <c r="X4" s="172"/>
      <c r="Y4" s="171"/>
      <c r="Z4" s="171"/>
      <c r="AA4" s="171"/>
    </row>
    <row r="5" spans="1:27" ht="23.25" customHeight="1" thickBot="1">
      <c r="A5" s="734"/>
      <c r="B5" s="735"/>
      <c r="C5" s="734"/>
      <c r="D5" s="731"/>
      <c r="E5" s="731"/>
      <c r="F5" s="176" t="s">
        <v>49</v>
      </c>
      <c r="G5" s="392" t="s">
        <v>10</v>
      </c>
      <c r="H5" s="731"/>
      <c r="I5" s="737" t="s">
        <v>4</v>
      </c>
      <c r="J5" s="738"/>
      <c r="K5" s="176" t="s">
        <v>3</v>
      </c>
      <c r="L5" s="392" t="s">
        <v>0</v>
      </c>
      <c r="M5" s="176" t="s">
        <v>1</v>
      </c>
      <c r="N5" s="392" t="s">
        <v>5</v>
      </c>
      <c r="O5" s="176" t="s">
        <v>11</v>
      </c>
      <c r="P5" s="392" t="s">
        <v>12</v>
      </c>
      <c r="Q5" s="176" t="s">
        <v>13</v>
      </c>
      <c r="R5" s="392" t="s">
        <v>14</v>
      </c>
      <c r="S5" s="393" t="s">
        <v>15</v>
      </c>
      <c r="T5" s="394" t="s">
        <v>16</v>
      </c>
      <c r="U5" s="394" t="s">
        <v>17</v>
      </c>
      <c r="V5" s="174"/>
      <c r="W5" s="174"/>
      <c r="X5" s="174"/>
      <c r="Y5" s="175"/>
      <c r="Z5" s="171"/>
      <c r="AA5" s="171"/>
    </row>
    <row r="6" spans="1:27" ht="15.75" thickBot="1">
      <c r="A6" s="176"/>
      <c r="B6" s="176"/>
      <c r="C6" s="176"/>
      <c r="D6" s="524"/>
      <c r="E6" s="19"/>
      <c r="F6" s="395"/>
      <c r="G6" s="396"/>
      <c r="H6" s="396"/>
      <c r="I6" s="415" t="s">
        <v>49</v>
      </c>
      <c r="J6" s="474" t="s">
        <v>10</v>
      </c>
      <c r="K6" s="397"/>
      <c r="L6" s="398"/>
      <c r="M6" s="397"/>
      <c r="N6" s="398"/>
      <c r="O6" s="397"/>
      <c r="P6" s="398"/>
      <c r="Q6" s="397"/>
      <c r="R6" s="398"/>
      <c r="S6" s="397"/>
      <c r="T6" s="397"/>
      <c r="U6" s="398"/>
      <c r="V6" s="174"/>
      <c r="W6" s="174"/>
      <c r="X6" s="174"/>
      <c r="Y6" s="175"/>
      <c r="Z6" s="171"/>
      <c r="AA6" s="171"/>
    </row>
    <row r="7" spans="1:27" ht="21.75" customHeight="1" thickBot="1">
      <c r="A7" s="233">
        <v>1</v>
      </c>
      <c r="B7" s="178" t="s">
        <v>62</v>
      </c>
      <c r="C7" s="233" t="s">
        <v>19</v>
      </c>
      <c r="D7" s="711">
        <f>D8+D9</f>
        <v>573.3389999999999</v>
      </c>
      <c r="E7" s="660">
        <f>E8+E9</f>
        <v>334.86</v>
      </c>
      <c r="F7" s="712">
        <v>238.48</v>
      </c>
      <c r="G7" s="712">
        <v>24.28</v>
      </c>
      <c r="H7" s="713">
        <f>F7-G7</f>
        <v>214.2</v>
      </c>
      <c r="I7" s="713">
        <v>36.82</v>
      </c>
      <c r="J7" s="714"/>
      <c r="K7" s="713">
        <v>36.82</v>
      </c>
      <c r="L7" s="713">
        <v>36.82</v>
      </c>
      <c r="M7" s="713">
        <v>36.82</v>
      </c>
      <c r="N7" s="713">
        <v>31.82</v>
      </c>
      <c r="O7" s="713">
        <v>14</v>
      </c>
      <c r="P7" s="713">
        <v>14</v>
      </c>
      <c r="Q7" s="713">
        <v>7.1</v>
      </c>
      <c r="R7" s="713"/>
      <c r="S7" s="378"/>
      <c r="T7" s="378"/>
      <c r="U7" s="378"/>
      <c r="V7" s="181">
        <f>SUM(I7:U7)</f>
        <v>214.2</v>
      </c>
      <c r="W7" s="182">
        <f>V7-H7</f>
        <v>0</v>
      </c>
      <c r="X7" s="183">
        <f>1020.81-88.25-243.16</f>
        <v>689.4</v>
      </c>
      <c r="Y7" s="175"/>
      <c r="Z7" s="171"/>
      <c r="AA7" s="171"/>
    </row>
    <row r="8" spans="1:27" ht="21" customHeight="1" thickBot="1">
      <c r="A8" s="220"/>
      <c r="B8" s="247" t="s">
        <v>63</v>
      </c>
      <c r="C8" s="220" t="s">
        <v>19</v>
      </c>
      <c r="D8" s="715">
        <v>314.75</v>
      </c>
      <c r="E8" s="662">
        <v>151.042</v>
      </c>
      <c r="F8" s="716">
        <v>163.708</v>
      </c>
      <c r="G8" s="716">
        <v>8.608</v>
      </c>
      <c r="H8" s="717">
        <f>F8-G8</f>
        <v>155.1</v>
      </c>
      <c r="I8" s="717">
        <v>25</v>
      </c>
      <c r="J8" s="718"/>
      <c r="K8" s="717">
        <v>25</v>
      </c>
      <c r="L8" s="717">
        <v>25</v>
      </c>
      <c r="M8" s="717">
        <v>25</v>
      </c>
      <c r="N8" s="717">
        <v>20</v>
      </c>
      <c r="O8" s="717">
        <v>14</v>
      </c>
      <c r="P8" s="717">
        <v>14</v>
      </c>
      <c r="Q8" s="717">
        <v>7.1</v>
      </c>
      <c r="R8" s="717"/>
      <c r="S8" s="382"/>
      <c r="T8" s="382"/>
      <c r="U8" s="382"/>
      <c r="V8" s="182">
        <f aca="true" t="shared" si="0" ref="V8:V32">SUM(I8:U8)</f>
        <v>155.1</v>
      </c>
      <c r="W8" s="183">
        <f aca="true" t="shared" si="1" ref="W8:W32">V8-H8</f>
        <v>0</v>
      </c>
      <c r="X8" s="182"/>
      <c r="Y8" s="175"/>
      <c r="Z8" s="171"/>
      <c r="AA8" s="171"/>
    </row>
    <row r="9" spans="1:27" ht="24" customHeight="1" thickBot="1">
      <c r="A9" s="220"/>
      <c r="B9" s="247" t="s">
        <v>64</v>
      </c>
      <c r="C9" s="220" t="s">
        <v>19</v>
      </c>
      <c r="D9" s="719">
        <v>258.589</v>
      </c>
      <c r="E9" s="664">
        <v>183.818</v>
      </c>
      <c r="F9" s="716">
        <v>74.772</v>
      </c>
      <c r="G9" s="716">
        <v>15.672</v>
      </c>
      <c r="H9" s="717">
        <f>F9-G9</f>
        <v>59.10000000000001</v>
      </c>
      <c r="I9" s="717">
        <v>11.82</v>
      </c>
      <c r="J9" s="718"/>
      <c r="K9" s="717">
        <v>11.82</v>
      </c>
      <c r="L9" s="717">
        <v>11.82</v>
      </c>
      <c r="M9" s="717">
        <v>11.82</v>
      </c>
      <c r="N9" s="717">
        <v>11.82</v>
      </c>
      <c r="O9" s="717"/>
      <c r="P9" s="717"/>
      <c r="Q9" s="717"/>
      <c r="R9" s="717"/>
      <c r="S9" s="382"/>
      <c r="T9" s="382"/>
      <c r="U9" s="382"/>
      <c r="V9" s="182">
        <f t="shared" si="0"/>
        <v>59.1</v>
      </c>
      <c r="W9" s="183">
        <f t="shared" si="1"/>
        <v>0</v>
      </c>
      <c r="X9" s="183">
        <f>406.1-X7</f>
        <v>-283.29999999999995</v>
      </c>
      <c r="Y9" s="175"/>
      <c r="Z9" s="171"/>
      <c r="AA9" s="171"/>
    </row>
    <row r="10" spans="1:27" ht="22.5" customHeight="1" thickBot="1">
      <c r="A10" s="220"/>
      <c r="B10" s="247" t="s">
        <v>65</v>
      </c>
      <c r="C10" s="220" t="s">
        <v>19</v>
      </c>
      <c r="D10" s="665">
        <v>123.72</v>
      </c>
      <c r="E10" s="666">
        <v>0</v>
      </c>
      <c r="F10" s="717">
        <v>123.716</v>
      </c>
      <c r="G10" s="717">
        <v>0</v>
      </c>
      <c r="H10" s="717">
        <f aca="true" t="shared" si="2" ref="H10:H32">F10-G10</f>
        <v>123.716</v>
      </c>
      <c r="I10" s="717"/>
      <c r="J10" s="718">
        <v>2.7215</v>
      </c>
      <c r="K10" s="717"/>
      <c r="L10" s="717">
        <v>30.8</v>
      </c>
      <c r="M10" s="717">
        <v>30.8</v>
      </c>
      <c r="N10" s="717">
        <v>30.8</v>
      </c>
      <c r="O10" s="717">
        <v>31.31599999999999</v>
      </c>
      <c r="P10" s="717"/>
      <c r="Q10" s="717"/>
      <c r="R10" s="717"/>
      <c r="S10" s="382"/>
      <c r="T10" s="382"/>
      <c r="U10" s="382"/>
      <c r="V10" s="182">
        <f t="shared" si="0"/>
        <v>126.43749999999999</v>
      </c>
      <c r="W10" s="181">
        <f t="shared" si="1"/>
        <v>2.721499999999992</v>
      </c>
      <c r="X10" s="182"/>
      <c r="Y10" s="175"/>
      <c r="Z10" s="171"/>
      <c r="AA10" s="171"/>
    </row>
    <row r="11" spans="1:27" ht="22.5" customHeight="1" thickBot="1">
      <c r="A11" s="400">
        <v>2</v>
      </c>
      <c r="B11" s="401" t="s">
        <v>23</v>
      </c>
      <c r="C11" s="400" t="s">
        <v>19</v>
      </c>
      <c r="D11" s="720"/>
      <c r="E11" s="664"/>
      <c r="F11" s="713">
        <v>0</v>
      </c>
      <c r="G11" s="713"/>
      <c r="H11" s="713">
        <f t="shared" si="2"/>
        <v>0</v>
      </c>
      <c r="I11" s="713"/>
      <c r="J11" s="714"/>
      <c r="K11" s="713"/>
      <c r="L11" s="713"/>
      <c r="M11" s="713"/>
      <c r="N11" s="713"/>
      <c r="O11" s="713"/>
      <c r="P11" s="713"/>
      <c r="Q11" s="713"/>
      <c r="R11" s="713"/>
      <c r="S11" s="378"/>
      <c r="T11" s="378"/>
      <c r="U11" s="378"/>
      <c r="V11" s="182">
        <f t="shared" si="0"/>
        <v>0</v>
      </c>
      <c r="W11" s="182">
        <f t="shared" si="1"/>
        <v>0</v>
      </c>
      <c r="X11" s="182"/>
      <c r="Y11" s="175"/>
      <c r="Z11" s="171"/>
      <c r="AA11" s="171"/>
    </row>
    <row r="12" spans="1:27" ht="22.5" customHeight="1" thickBot="1">
      <c r="A12" s="233">
        <v>3</v>
      </c>
      <c r="B12" s="178" t="s">
        <v>66</v>
      </c>
      <c r="C12" s="233" t="s">
        <v>19</v>
      </c>
      <c r="D12" s="721">
        <v>1294.95934</v>
      </c>
      <c r="E12" s="666">
        <v>527.96</v>
      </c>
      <c r="F12" s="713">
        <v>767</v>
      </c>
      <c r="G12" s="713">
        <v>165</v>
      </c>
      <c r="H12" s="713">
        <f t="shared" si="2"/>
        <v>602</v>
      </c>
      <c r="I12" s="713">
        <v>165</v>
      </c>
      <c r="J12" s="714">
        <v>30.545</v>
      </c>
      <c r="K12" s="713">
        <v>165</v>
      </c>
      <c r="L12" s="713">
        <v>165</v>
      </c>
      <c r="M12" s="713">
        <v>107</v>
      </c>
      <c r="N12" s="713"/>
      <c r="O12" s="713"/>
      <c r="P12" s="713"/>
      <c r="Q12" s="713"/>
      <c r="R12" s="713"/>
      <c r="S12" s="378"/>
      <c r="T12" s="378"/>
      <c r="U12" s="378"/>
      <c r="V12" s="182">
        <f t="shared" si="0"/>
        <v>632.5450000000001</v>
      </c>
      <c r="W12" s="182">
        <f t="shared" si="1"/>
        <v>30.545000000000073</v>
      </c>
      <c r="X12" s="182"/>
      <c r="Y12" s="175"/>
      <c r="Z12" s="171"/>
      <c r="AA12" s="171"/>
    </row>
    <row r="13" spans="1:27" ht="20.25" customHeight="1" thickBot="1">
      <c r="A13" s="241">
        <f>1+A12</f>
        <v>4</v>
      </c>
      <c r="B13" s="188" t="s">
        <v>25</v>
      </c>
      <c r="C13" s="241" t="s">
        <v>19</v>
      </c>
      <c r="D13" s="667">
        <v>9.92</v>
      </c>
      <c r="E13" s="668">
        <v>0</v>
      </c>
      <c r="F13" s="717">
        <v>9.921</v>
      </c>
      <c r="G13" s="717"/>
      <c r="H13" s="717">
        <f t="shared" si="2"/>
        <v>9.921</v>
      </c>
      <c r="I13" s="717"/>
      <c r="J13" s="718"/>
      <c r="K13" s="717"/>
      <c r="L13" s="717"/>
      <c r="M13" s="717">
        <v>2</v>
      </c>
      <c r="N13" s="717">
        <v>2</v>
      </c>
      <c r="O13" s="717">
        <v>2</v>
      </c>
      <c r="P13" s="717">
        <v>2</v>
      </c>
      <c r="Q13" s="717">
        <v>1.921</v>
      </c>
      <c r="R13" s="717"/>
      <c r="S13" s="382"/>
      <c r="T13" s="382"/>
      <c r="U13" s="382"/>
      <c r="V13" s="182">
        <f t="shared" si="0"/>
        <v>9.921</v>
      </c>
      <c r="W13" s="182">
        <f t="shared" si="1"/>
        <v>0</v>
      </c>
      <c r="X13" s="182"/>
      <c r="Y13" s="175"/>
      <c r="Z13" s="171"/>
      <c r="AA13" s="171"/>
    </row>
    <row r="14" spans="1:27" ht="19.5" customHeight="1" thickBot="1">
      <c r="A14" s="241">
        <f aca="true" t="shared" si="3" ref="A14:A32">1+A13</f>
        <v>5</v>
      </c>
      <c r="B14" s="178" t="s">
        <v>67</v>
      </c>
      <c r="C14" s="233" t="s">
        <v>19</v>
      </c>
      <c r="D14" s="665">
        <v>13.833</v>
      </c>
      <c r="E14" s="666">
        <v>2.334</v>
      </c>
      <c r="F14" s="713">
        <v>11.499</v>
      </c>
      <c r="G14" s="713">
        <v>0.549</v>
      </c>
      <c r="H14" s="713">
        <f t="shared" si="2"/>
        <v>10.950000000000001</v>
      </c>
      <c r="I14" s="713"/>
      <c r="J14" s="714"/>
      <c r="K14" s="713"/>
      <c r="L14" s="713"/>
      <c r="M14" s="713">
        <v>1.7</v>
      </c>
      <c r="N14" s="713">
        <v>2.1</v>
      </c>
      <c r="O14" s="713">
        <v>2.1</v>
      </c>
      <c r="P14" s="713">
        <v>1.7</v>
      </c>
      <c r="Q14" s="713">
        <v>1.7</v>
      </c>
      <c r="R14" s="713">
        <v>1.65</v>
      </c>
      <c r="S14" s="378"/>
      <c r="T14" s="378"/>
      <c r="U14" s="378"/>
      <c r="V14" s="182">
        <f>SUM(I14:U14)</f>
        <v>10.950000000000001</v>
      </c>
      <c r="W14" s="182">
        <f t="shared" si="1"/>
        <v>0</v>
      </c>
      <c r="X14" s="182"/>
      <c r="Y14" s="175"/>
      <c r="Z14" s="171"/>
      <c r="AA14" s="171"/>
    </row>
    <row r="15" spans="1:27" ht="22.5" customHeight="1" thickBot="1">
      <c r="A15" s="241">
        <f t="shared" si="3"/>
        <v>6</v>
      </c>
      <c r="B15" s="188" t="s">
        <v>27</v>
      </c>
      <c r="C15" s="241" t="s">
        <v>19</v>
      </c>
      <c r="D15" s="722">
        <v>3</v>
      </c>
      <c r="E15" s="668">
        <v>0</v>
      </c>
      <c r="F15" s="717">
        <v>3</v>
      </c>
      <c r="G15" s="717"/>
      <c r="H15" s="717">
        <f t="shared" si="2"/>
        <v>3</v>
      </c>
      <c r="I15" s="717">
        <v>0.6</v>
      </c>
      <c r="J15" s="718"/>
      <c r="K15" s="717">
        <v>0.3</v>
      </c>
      <c r="L15" s="717">
        <v>0.5</v>
      </c>
      <c r="M15" s="717">
        <v>0.5</v>
      </c>
      <c r="N15" s="717">
        <v>0.5</v>
      </c>
      <c r="O15" s="717">
        <v>0.3</v>
      </c>
      <c r="P15" s="717">
        <v>0.3</v>
      </c>
      <c r="Q15" s="717"/>
      <c r="R15" s="717"/>
      <c r="S15" s="382"/>
      <c r="T15" s="382"/>
      <c r="U15" s="382"/>
      <c r="V15" s="182">
        <f t="shared" si="0"/>
        <v>2.9999999999999996</v>
      </c>
      <c r="W15" s="182">
        <f t="shared" si="1"/>
        <v>0</v>
      </c>
      <c r="X15" s="182"/>
      <c r="Y15" s="175"/>
      <c r="Z15" s="171"/>
      <c r="AA15" s="171"/>
    </row>
    <row r="16" spans="1:27" ht="20.25" customHeight="1" thickBot="1">
      <c r="A16" s="241">
        <f t="shared" si="3"/>
        <v>7</v>
      </c>
      <c r="B16" s="178" t="s">
        <v>28</v>
      </c>
      <c r="C16" s="233" t="s">
        <v>29</v>
      </c>
      <c r="D16" s="665">
        <v>11.265</v>
      </c>
      <c r="E16" s="666">
        <v>7.015</v>
      </c>
      <c r="F16" s="713">
        <v>4.245</v>
      </c>
      <c r="G16" s="713">
        <v>2.379</v>
      </c>
      <c r="H16" s="713">
        <f t="shared" si="2"/>
        <v>1.866</v>
      </c>
      <c r="I16" s="713">
        <v>0.94</v>
      </c>
      <c r="J16" s="714"/>
      <c r="K16" s="713">
        <v>0.47</v>
      </c>
      <c r="L16" s="713">
        <v>0.456</v>
      </c>
      <c r="M16" s="713"/>
      <c r="N16" s="713"/>
      <c r="O16" s="713"/>
      <c r="P16" s="713"/>
      <c r="Q16" s="713"/>
      <c r="R16" s="713"/>
      <c r="S16" s="378"/>
      <c r="T16" s="378"/>
      <c r="U16" s="378"/>
      <c r="V16" s="182">
        <f t="shared" si="0"/>
        <v>1.8659999999999999</v>
      </c>
      <c r="W16" s="182">
        <f t="shared" si="1"/>
        <v>0</v>
      </c>
      <c r="X16" s="182"/>
      <c r="Y16" s="175"/>
      <c r="Z16" s="171"/>
      <c r="AA16" s="171"/>
    </row>
    <row r="17" spans="1:27" ht="21.75" customHeight="1" thickBot="1">
      <c r="A17" s="241">
        <f t="shared" si="3"/>
        <v>8</v>
      </c>
      <c r="B17" s="188" t="s">
        <v>30</v>
      </c>
      <c r="C17" s="241" t="s">
        <v>31</v>
      </c>
      <c r="D17" s="667">
        <f>1051.3+1020.1</f>
        <v>2071.4</v>
      </c>
      <c r="E17" s="668">
        <v>365.52</v>
      </c>
      <c r="F17" s="717">
        <v>1705.878</v>
      </c>
      <c r="G17" s="717">
        <v>449.388</v>
      </c>
      <c r="H17" s="717">
        <f t="shared" si="2"/>
        <v>1256.49</v>
      </c>
      <c r="I17" s="717">
        <v>206.49</v>
      </c>
      <c r="J17" s="718">
        <v>40.824</v>
      </c>
      <c r="K17" s="717">
        <v>175</v>
      </c>
      <c r="L17" s="717">
        <v>175</v>
      </c>
      <c r="M17" s="717">
        <v>175</v>
      </c>
      <c r="N17" s="717">
        <v>175</v>
      </c>
      <c r="O17" s="717">
        <v>175</v>
      </c>
      <c r="P17" s="717">
        <v>175</v>
      </c>
      <c r="Q17" s="717"/>
      <c r="R17" s="717"/>
      <c r="S17" s="382"/>
      <c r="T17" s="382"/>
      <c r="U17" s="382"/>
      <c r="V17" s="182">
        <f t="shared" si="0"/>
        <v>1297.314</v>
      </c>
      <c r="W17" s="182">
        <f t="shared" si="1"/>
        <v>40.82400000000007</v>
      </c>
      <c r="X17" s="182"/>
      <c r="Y17" s="175"/>
      <c r="Z17" s="171"/>
      <c r="AA17" s="171"/>
    </row>
    <row r="18" spans="1:27" ht="21.75" customHeight="1" thickBot="1">
      <c r="A18" s="241">
        <f t="shared" si="3"/>
        <v>9</v>
      </c>
      <c r="B18" s="188" t="s">
        <v>75</v>
      </c>
      <c r="C18" s="241" t="s">
        <v>31</v>
      </c>
      <c r="D18" s="665"/>
      <c r="E18" s="666"/>
      <c r="F18" s="717"/>
      <c r="G18" s="717"/>
      <c r="H18" s="717"/>
      <c r="I18" s="717"/>
      <c r="J18" s="718"/>
      <c r="K18" s="717"/>
      <c r="L18" s="717"/>
      <c r="M18" s="717"/>
      <c r="N18" s="717"/>
      <c r="O18" s="717"/>
      <c r="P18" s="717"/>
      <c r="Q18" s="717"/>
      <c r="R18" s="717"/>
      <c r="S18" s="382"/>
      <c r="T18" s="382"/>
      <c r="U18" s="382"/>
      <c r="V18" s="182"/>
      <c r="W18" s="182"/>
      <c r="X18" s="182"/>
      <c r="Y18" s="175"/>
      <c r="Z18" s="171"/>
      <c r="AA18" s="171"/>
    </row>
    <row r="19" spans="1:27" ht="21" customHeight="1" thickBot="1">
      <c r="A19" s="241">
        <f t="shared" si="3"/>
        <v>10</v>
      </c>
      <c r="B19" s="178" t="s">
        <v>32</v>
      </c>
      <c r="C19" s="233" t="s">
        <v>2</v>
      </c>
      <c r="D19" s="669">
        <v>1517</v>
      </c>
      <c r="E19" s="670"/>
      <c r="F19" s="713">
        <v>1517</v>
      </c>
      <c r="G19" s="713"/>
      <c r="H19" s="713">
        <f t="shared" si="2"/>
        <v>1517</v>
      </c>
      <c r="I19" s="713"/>
      <c r="J19" s="714"/>
      <c r="K19" s="713"/>
      <c r="L19" s="713"/>
      <c r="M19" s="713"/>
      <c r="N19" s="713"/>
      <c r="O19" s="713"/>
      <c r="P19" s="713">
        <v>700</v>
      </c>
      <c r="Q19" s="713">
        <v>817</v>
      </c>
      <c r="R19" s="713"/>
      <c r="S19" s="378"/>
      <c r="T19" s="378"/>
      <c r="U19" s="378"/>
      <c r="V19" s="182">
        <f t="shared" si="0"/>
        <v>1517</v>
      </c>
      <c r="W19" s="182">
        <f t="shared" si="1"/>
        <v>0</v>
      </c>
      <c r="X19" s="182"/>
      <c r="Y19" s="175"/>
      <c r="Z19" s="171"/>
      <c r="AA19" s="171"/>
    </row>
    <row r="20" spans="1:27" ht="19.5" customHeight="1" thickBot="1">
      <c r="A20" s="241">
        <f t="shared" si="3"/>
        <v>11</v>
      </c>
      <c r="B20" s="188" t="s">
        <v>33</v>
      </c>
      <c r="C20" s="241" t="s">
        <v>19</v>
      </c>
      <c r="D20" s="665">
        <v>82.17</v>
      </c>
      <c r="E20" s="666"/>
      <c r="F20" s="717">
        <v>82.165</v>
      </c>
      <c r="G20" s="717"/>
      <c r="H20" s="717">
        <f t="shared" si="2"/>
        <v>82.165</v>
      </c>
      <c r="I20" s="717"/>
      <c r="J20" s="718"/>
      <c r="K20" s="717"/>
      <c r="L20" s="717"/>
      <c r="M20" s="717"/>
      <c r="N20" s="717"/>
      <c r="O20" s="717"/>
      <c r="P20" s="717">
        <v>50</v>
      </c>
      <c r="Q20" s="717">
        <v>32.165</v>
      </c>
      <c r="R20" s="717"/>
      <c r="S20" s="382"/>
      <c r="T20" s="382"/>
      <c r="U20" s="382"/>
      <c r="V20" s="182">
        <f t="shared" si="0"/>
        <v>82.16499999999999</v>
      </c>
      <c r="W20" s="182">
        <f t="shared" si="1"/>
        <v>0</v>
      </c>
      <c r="X20" s="182"/>
      <c r="Y20" s="175"/>
      <c r="Z20" s="171"/>
      <c r="AA20" s="171"/>
    </row>
    <row r="21" spans="1:27" ht="20.25" customHeight="1" thickBot="1">
      <c r="A21" s="241">
        <f t="shared" si="3"/>
        <v>12</v>
      </c>
      <c r="B21" s="178" t="s">
        <v>34</v>
      </c>
      <c r="C21" s="233" t="s">
        <v>35</v>
      </c>
      <c r="D21" s="663">
        <v>524.2</v>
      </c>
      <c r="E21" s="664"/>
      <c r="F21" s="713">
        <v>0</v>
      </c>
      <c r="G21" s="713"/>
      <c r="H21" s="713">
        <f t="shared" si="2"/>
        <v>0</v>
      </c>
      <c r="I21" s="713"/>
      <c r="J21" s="714"/>
      <c r="K21" s="713"/>
      <c r="L21" s="713"/>
      <c r="M21" s="713"/>
      <c r="N21" s="713"/>
      <c r="O21" s="713"/>
      <c r="P21" s="713"/>
      <c r="Q21" s="713"/>
      <c r="R21" s="713"/>
      <c r="S21" s="378"/>
      <c r="T21" s="378"/>
      <c r="U21" s="378"/>
      <c r="V21" s="182">
        <f t="shared" si="0"/>
        <v>0</v>
      </c>
      <c r="W21" s="182">
        <f t="shared" si="1"/>
        <v>0</v>
      </c>
      <c r="X21" s="182"/>
      <c r="Y21" s="175"/>
      <c r="Z21" s="171"/>
      <c r="AA21" s="171"/>
    </row>
    <row r="22" spans="1:27" ht="24" customHeight="1" thickBot="1">
      <c r="A22" s="241">
        <f t="shared" si="3"/>
        <v>13</v>
      </c>
      <c r="B22" s="247" t="s">
        <v>36</v>
      </c>
      <c r="C22" s="220" t="s">
        <v>2</v>
      </c>
      <c r="D22" s="665">
        <v>269</v>
      </c>
      <c r="E22" s="666"/>
      <c r="F22" s="717">
        <v>269</v>
      </c>
      <c r="G22" s="717"/>
      <c r="H22" s="717">
        <f t="shared" si="2"/>
        <v>269</v>
      </c>
      <c r="I22" s="717"/>
      <c r="J22" s="718"/>
      <c r="K22" s="717"/>
      <c r="L22" s="717"/>
      <c r="M22" s="717"/>
      <c r="N22" s="717"/>
      <c r="O22" s="717"/>
      <c r="P22" s="717">
        <v>150</v>
      </c>
      <c r="Q22" s="717">
        <v>119</v>
      </c>
      <c r="R22" s="717"/>
      <c r="S22" s="382"/>
      <c r="T22" s="382"/>
      <c r="U22" s="382"/>
      <c r="V22" s="182">
        <f t="shared" si="0"/>
        <v>269</v>
      </c>
      <c r="W22" s="182">
        <f t="shared" si="1"/>
        <v>0</v>
      </c>
      <c r="X22" s="182"/>
      <c r="Y22" s="201"/>
      <c r="Z22" s="171"/>
      <c r="AA22" s="171"/>
    </row>
    <row r="23" spans="1:27" ht="20.25" customHeight="1" thickBot="1">
      <c r="A23" s="241">
        <f t="shared" si="3"/>
        <v>14</v>
      </c>
      <c r="B23" s="178" t="s">
        <v>37</v>
      </c>
      <c r="C23" s="233" t="s">
        <v>2</v>
      </c>
      <c r="D23" s="663">
        <v>169</v>
      </c>
      <c r="E23" s="664"/>
      <c r="F23" s="713">
        <v>169</v>
      </c>
      <c r="G23" s="713"/>
      <c r="H23" s="713">
        <f t="shared" si="2"/>
        <v>169</v>
      </c>
      <c r="I23" s="713"/>
      <c r="J23" s="714"/>
      <c r="K23" s="713"/>
      <c r="L23" s="713"/>
      <c r="M23" s="713"/>
      <c r="N23" s="713"/>
      <c r="O23" s="713"/>
      <c r="P23" s="713"/>
      <c r="Q23" s="713">
        <v>80</v>
      </c>
      <c r="R23" s="713">
        <v>89</v>
      </c>
      <c r="S23" s="378"/>
      <c r="T23" s="378"/>
      <c r="U23" s="378"/>
      <c r="V23" s="182">
        <f t="shared" si="0"/>
        <v>169</v>
      </c>
      <c r="W23" s="182">
        <f t="shared" si="1"/>
        <v>0</v>
      </c>
      <c r="X23" s="182"/>
      <c r="Y23" s="175"/>
      <c r="Z23" s="171"/>
      <c r="AA23" s="171"/>
    </row>
    <row r="24" spans="1:27" ht="24" customHeight="1" thickBot="1">
      <c r="A24" s="241">
        <f t="shared" si="3"/>
        <v>15</v>
      </c>
      <c r="B24" s="247" t="s">
        <v>38</v>
      </c>
      <c r="C24" s="220" t="s">
        <v>35</v>
      </c>
      <c r="D24" s="665">
        <v>1800</v>
      </c>
      <c r="E24" s="666"/>
      <c r="F24" s="717">
        <v>1800</v>
      </c>
      <c r="G24" s="717">
        <v>1800</v>
      </c>
      <c r="H24" s="717">
        <f t="shared" si="2"/>
        <v>0</v>
      </c>
      <c r="I24" s="717"/>
      <c r="J24" s="718"/>
      <c r="K24" s="717"/>
      <c r="L24" s="717"/>
      <c r="M24" s="717"/>
      <c r="N24" s="717"/>
      <c r="O24" s="717"/>
      <c r="P24" s="717"/>
      <c r="Q24" s="717"/>
      <c r="R24" s="717"/>
      <c r="S24" s="382"/>
      <c r="T24" s="382"/>
      <c r="U24" s="382"/>
      <c r="V24" s="182">
        <f t="shared" si="0"/>
        <v>0</v>
      </c>
      <c r="W24" s="182">
        <f t="shared" si="1"/>
        <v>0</v>
      </c>
      <c r="X24" s="182"/>
      <c r="Y24" s="175"/>
      <c r="Z24" s="171"/>
      <c r="AA24" s="171"/>
    </row>
    <row r="25" spans="1:27" ht="26.25" thickBot="1">
      <c r="A25" s="241">
        <f t="shared" si="3"/>
        <v>16</v>
      </c>
      <c r="B25" s="178" t="s">
        <v>39</v>
      </c>
      <c r="C25" s="233" t="s">
        <v>2</v>
      </c>
      <c r="D25" s="671">
        <v>269</v>
      </c>
      <c r="E25" s="672"/>
      <c r="F25" s="713">
        <v>269</v>
      </c>
      <c r="G25" s="713"/>
      <c r="H25" s="713">
        <f t="shared" si="2"/>
        <v>269</v>
      </c>
      <c r="I25" s="713"/>
      <c r="J25" s="714"/>
      <c r="K25" s="713"/>
      <c r="L25" s="713"/>
      <c r="M25" s="713"/>
      <c r="N25" s="713"/>
      <c r="O25" s="713"/>
      <c r="P25" s="713">
        <v>150</v>
      </c>
      <c r="Q25" s="713">
        <v>119</v>
      </c>
      <c r="R25" s="713"/>
      <c r="S25" s="378"/>
      <c r="T25" s="378"/>
      <c r="U25" s="378"/>
      <c r="V25" s="182">
        <f t="shared" si="0"/>
        <v>269</v>
      </c>
      <c r="W25" s="182">
        <f t="shared" si="1"/>
        <v>0</v>
      </c>
      <c r="X25" s="182"/>
      <c r="Y25" s="175"/>
      <c r="Z25" s="171"/>
      <c r="AA25" s="171"/>
    </row>
    <row r="26" spans="1:27" ht="22.5" customHeight="1" thickBot="1">
      <c r="A26" s="241">
        <f t="shared" si="3"/>
        <v>17</v>
      </c>
      <c r="B26" s="247" t="s">
        <v>40</v>
      </c>
      <c r="C26" s="220" t="s">
        <v>41</v>
      </c>
      <c r="D26" s="663">
        <v>0.8</v>
      </c>
      <c r="E26" s="664"/>
      <c r="F26" s="717">
        <v>0.8</v>
      </c>
      <c r="G26" s="717"/>
      <c r="H26" s="717">
        <f t="shared" si="2"/>
        <v>0.8</v>
      </c>
      <c r="I26" s="717"/>
      <c r="J26" s="718"/>
      <c r="K26" s="717"/>
      <c r="L26" s="717"/>
      <c r="M26" s="717"/>
      <c r="N26" s="717"/>
      <c r="O26" s="717"/>
      <c r="P26" s="717">
        <v>0.4</v>
      </c>
      <c r="Q26" s="717">
        <v>0.4</v>
      </c>
      <c r="R26" s="717"/>
      <c r="S26" s="382"/>
      <c r="T26" s="382"/>
      <c r="U26" s="382"/>
      <c r="V26" s="182">
        <f t="shared" si="0"/>
        <v>0.8</v>
      </c>
      <c r="W26" s="182">
        <f t="shared" si="1"/>
        <v>0</v>
      </c>
      <c r="X26" s="182"/>
      <c r="Y26" s="175"/>
      <c r="Z26" s="171"/>
      <c r="AA26" s="171"/>
    </row>
    <row r="27" spans="1:27" ht="23.25" customHeight="1" thickBot="1">
      <c r="A27" s="241">
        <f t="shared" si="3"/>
        <v>18</v>
      </c>
      <c r="B27" s="247" t="s">
        <v>68</v>
      </c>
      <c r="C27" s="220" t="s">
        <v>41</v>
      </c>
      <c r="D27" s="665"/>
      <c r="E27" s="666"/>
      <c r="F27" s="717"/>
      <c r="G27" s="717"/>
      <c r="H27" s="717">
        <f t="shared" si="2"/>
        <v>0</v>
      </c>
      <c r="I27" s="717"/>
      <c r="J27" s="718"/>
      <c r="K27" s="717"/>
      <c r="L27" s="717"/>
      <c r="M27" s="717"/>
      <c r="N27" s="717"/>
      <c r="O27" s="717"/>
      <c r="P27" s="717"/>
      <c r="Q27" s="717"/>
      <c r="R27" s="717"/>
      <c r="S27" s="382"/>
      <c r="T27" s="382"/>
      <c r="U27" s="382"/>
      <c r="V27" s="182">
        <f t="shared" si="0"/>
        <v>0</v>
      </c>
      <c r="W27" s="182">
        <f t="shared" si="1"/>
        <v>0</v>
      </c>
      <c r="X27" s="182"/>
      <c r="Y27" s="175"/>
      <c r="Z27" s="171"/>
      <c r="AA27" s="171"/>
    </row>
    <row r="28" spans="1:27" ht="21" customHeight="1" thickBot="1">
      <c r="A28" s="241">
        <f t="shared" si="3"/>
        <v>19</v>
      </c>
      <c r="B28" s="178" t="s">
        <v>43</v>
      </c>
      <c r="C28" s="233" t="s">
        <v>19</v>
      </c>
      <c r="D28" s="671">
        <v>330.71</v>
      </c>
      <c r="E28" s="664"/>
      <c r="F28" s="713">
        <v>0</v>
      </c>
      <c r="G28" s="713"/>
      <c r="H28" s="713">
        <f t="shared" si="2"/>
        <v>0</v>
      </c>
      <c r="I28" s="713"/>
      <c r="J28" s="714"/>
      <c r="K28" s="713"/>
      <c r="L28" s="713"/>
      <c r="M28" s="713"/>
      <c r="N28" s="713"/>
      <c r="O28" s="713"/>
      <c r="P28" s="713"/>
      <c r="Q28" s="713"/>
      <c r="R28" s="713"/>
      <c r="S28" s="378"/>
      <c r="T28" s="378"/>
      <c r="U28" s="378"/>
      <c r="V28" s="182">
        <f t="shared" si="0"/>
        <v>0</v>
      </c>
      <c r="W28" s="182">
        <f t="shared" si="1"/>
        <v>0</v>
      </c>
      <c r="X28" s="182"/>
      <c r="Y28" s="175"/>
      <c r="Z28" s="171"/>
      <c r="AA28" s="171"/>
    </row>
    <row r="29" spans="1:27" ht="25.5" customHeight="1" thickBot="1">
      <c r="A29" s="241">
        <f t="shared" si="3"/>
        <v>20</v>
      </c>
      <c r="B29" s="247" t="s">
        <v>44</v>
      </c>
      <c r="C29" s="220" t="s">
        <v>45</v>
      </c>
      <c r="D29" s="666"/>
      <c r="E29" s="672"/>
      <c r="F29" s="717">
        <v>0</v>
      </c>
      <c r="G29" s="717"/>
      <c r="H29" s="717">
        <f t="shared" si="2"/>
        <v>0</v>
      </c>
      <c r="I29" s="717"/>
      <c r="J29" s="718"/>
      <c r="K29" s="717"/>
      <c r="L29" s="717"/>
      <c r="M29" s="717"/>
      <c r="N29" s="717"/>
      <c r="O29" s="717"/>
      <c r="P29" s="717"/>
      <c r="Q29" s="717"/>
      <c r="R29" s="717"/>
      <c r="S29" s="382"/>
      <c r="T29" s="382"/>
      <c r="U29" s="382"/>
      <c r="V29" s="182">
        <f t="shared" si="0"/>
        <v>0</v>
      </c>
      <c r="W29" s="182">
        <f t="shared" si="1"/>
        <v>0</v>
      </c>
      <c r="X29" s="182"/>
      <c r="Y29" s="175"/>
      <c r="Z29" s="171"/>
      <c r="AA29" s="171"/>
    </row>
    <row r="30" spans="1:27" ht="27" customHeight="1" thickBot="1">
      <c r="A30" s="241">
        <f t="shared" si="3"/>
        <v>21</v>
      </c>
      <c r="B30" s="247" t="s">
        <v>46</v>
      </c>
      <c r="C30" s="220" t="s">
        <v>19</v>
      </c>
      <c r="D30" s="666"/>
      <c r="E30" s="674"/>
      <c r="F30" s="717">
        <v>0</v>
      </c>
      <c r="G30" s="717"/>
      <c r="H30" s="717">
        <f t="shared" si="2"/>
        <v>0</v>
      </c>
      <c r="I30" s="717"/>
      <c r="J30" s="718"/>
      <c r="K30" s="717"/>
      <c r="L30" s="717"/>
      <c r="M30" s="717"/>
      <c r="N30" s="717"/>
      <c r="O30" s="717"/>
      <c r="P30" s="717"/>
      <c r="Q30" s="717"/>
      <c r="R30" s="717"/>
      <c r="S30" s="382"/>
      <c r="T30" s="382"/>
      <c r="U30" s="382"/>
      <c r="V30" s="182">
        <f t="shared" si="0"/>
        <v>0</v>
      </c>
      <c r="W30" s="182">
        <f t="shared" si="1"/>
        <v>0</v>
      </c>
      <c r="X30" s="182"/>
      <c r="Y30" s="175"/>
      <c r="Z30" s="171"/>
      <c r="AA30" s="171"/>
    </row>
    <row r="31" spans="1:27" ht="19.5" customHeight="1" thickBot="1">
      <c r="A31" s="241">
        <f t="shared" si="3"/>
        <v>22</v>
      </c>
      <c r="B31" s="247" t="s">
        <v>47</v>
      </c>
      <c r="C31" s="220" t="s">
        <v>19</v>
      </c>
      <c r="D31" s="673"/>
      <c r="E31" s="672"/>
      <c r="F31" s="717">
        <v>0</v>
      </c>
      <c r="G31" s="717"/>
      <c r="H31" s="717">
        <f t="shared" si="2"/>
        <v>0</v>
      </c>
      <c r="I31" s="717"/>
      <c r="J31" s="718"/>
      <c r="K31" s="717"/>
      <c r="L31" s="717"/>
      <c r="M31" s="717"/>
      <c r="N31" s="717"/>
      <c r="O31" s="717"/>
      <c r="P31" s="717"/>
      <c r="Q31" s="717"/>
      <c r="R31" s="717"/>
      <c r="S31" s="382"/>
      <c r="T31" s="382"/>
      <c r="U31" s="382"/>
      <c r="V31" s="182">
        <f t="shared" si="0"/>
        <v>0</v>
      </c>
      <c r="W31" s="182">
        <f t="shared" si="1"/>
        <v>0</v>
      </c>
      <c r="X31" s="182"/>
      <c r="Y31" s="175"/>
      <c r="Z31" s="171"/>
      <c r="AA31" s="171"/>
    </row>
    <row r="32" spans="1:27" ht="22.5" customHeight="1" thickBot="1">
      <c r="A32" s="241">
        <f t="shared" si="3"/>
        <v>23</v>
      </c>
      <c r="B32" s="247" t="s">
        <v>48</v>
      </c>
      <c r="C32" s="220" t="s">
        <v>41</v>
      </c>
      <c r="D32" s="671">
        <v>255.5</v>
      </c>
      <c r="E32" s="672"/>
      <c r="F32" s="717">
        <v>255.5</v>
      </c>
      <c r="G32" s="717"/>
      <c r="H32" s="717">
        <f t="shared" si="2"/>
        <v>255.5</v>
      </c>
      <c r="I32" s="717">
        <v>50</v>
      </c>
      <c r="J32" s="718"/>
      <c r="K32" s="717">
        <v>50</v>
      </c>
      <c r="L32" s="717">
        <v>50</v>
      </c>
      <c r="M32" s="717">
        <v>50</v>
      </c>
      <c r="N32" s="717">
        <v>55.5</v>
      </c>
      <c r="O32" s="717"/>
      <c r="P32" s="717"/>
      <c r="Q32" s="717"/>
      <c r="R32" s="717"/>
      <c r="S32" s="382"/>
      <c r="T32" s="382"/>
      <c r="U32" s="382"/>
      <c r="V32" s="182">
        <f t="shared" si="0"/>
        <v>255.5</v>
      </c>
      <c r="W32" s="182">
        <f t="shared" si="1"/>
        <v>0</v>
      </c>
      <c r="X32" s="182"/>
      <c r="Y32" s="171"/>
      <c r="Z32" s="171"/>
      <c r="AA32" s="171"/>
    </row>
    <row r="33" spans="1:24" ht="15">
      <c r="A33" s="6"/>
      <c r="B33" s="7"/>
      <c r="C33" s="8"/>
      <c r="D33" s="8"/>
      <c r="E33" s="8"/>
      <c r="F33" s="9"/>
      <c r="G33" s="10"/>
      <c r="H33" s="10"/>
      <c r="I33" s="9"/>
      <c r="J33" s="11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15">
      <c r="A34" s="6"/>
      <c r="B34" s="7"/>
      <c r="C34" s="8"/>
      <c r="D34" s="8"/>
      <c r="E34" s="8"/>
      <c r="F34" s="9"/>
      <c r="G34" s="10"/>
      <c r="H34" s="10"/>
      <c r="I34" s="9"/>
      <c r="J34" s="11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5">
      <c r="A35" s="6"/>
      <c r="B35" s="732"/>
      <c r="C35" s="732"/>
      <c r="D35" s="732"/>
      <c r="E35" s="732"/>
      <c r="F35" s="732"/>
      <c r="G35" s="732"/>
      <c r="H35" s="732"/>
      <c r="I35" s="9"/>
      <c r="J35" s="11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ht="15">
      <c r="A36" s="6"/>
      <c r="B36" s="7"/>
      <c r="C36" s="8"/>
      <c r="F36" s="9"/>
      <c r="G36" s="10"/>
      <c r="H36" s="10"/>
      <c r="I36" s="9"/>
      <c r="J36" s="11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</sheetData>
  <sheetProtection/>
  <mergeCells count="11">
    <mergeCell ref="I5:J5"/>
    <mergeCell ref="D4:D5"/>
    <mergeCell ref="E4:E5"/>
    <mergeCell ref="B35:H35"/>
    <mergeCell ref="A1:AA2"/>
    <mergeCell ref="A4:A5"/>
    <mergeCell ref="B4:B5"/>
    <mergeCell ref="C4:C5"/>
    <mergeCell ref="F4:G4"/>
    <mergeCell ref="H4:H5"/>
    <mergeCell ref="I4:U4"/>
  </mergeCells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6"/>
  <sheetViews>
    <sheetView zoomScalePageLayoutView="0" workbookViewId="0" topLeftCell="A4">
      <selection activeCell="J7" sqref="J7:J32"/>
    </sheetView>
  </sheetViews>
  <sheetFormatPr defaultColWidth="9.00390625" defaultRowHeight="12.75"/>
  <cols>
    <col min="1" max="1" width="4.00390625" style="0" customWidth="1"/>
    <col min="2" max="2" width="36.125" style="0" customWidth="1"/>
    <col min="4" max="4" width="19.75390625" style="0" customWidth="1"/>
    <col min="5" max="5" width="17.375" style="0" customWidth="1"/>
    <col min="6" max="6" width="10.25390625" style="0" hidden="1" customWidth="1"/>
    <col min="7" max="7" width="9.875" style="0" hidden="1" customWidth="1"/>
    <col min="8" max="8" width="10.125" style="0" customWidth="1"/>
    <col min="13" max="13" width="10.00390625" style="0" customWidth="1"/>
    <col min="17" max="17" width="7.75390625" style="0" customWidth="1"/>
    <col min="18" max="18" width="8.625" style="0" customWidth="1"/>
    <col min="21" max="21" width="9.75390625" style="0" customWidth="1"/>
  </cols>
  <sheetData>
    <row r="1" spans="1:27" ht="13.5" customHeight="1">
      <c r="A1" s="733" t="s">
        <v>76</v>
      </c>
      <c r="B1" s="733"/>
      <c r="C1" s="733"/>
      <c r="D1" s="733"/>
      <c r="E1" s="733"/>
      <c r="F1" s="733"/>
      <c r="G1" s="733"/>
      <c r="H1" s="733"/>
      <c r="I1" s="733"/>
      <c r="J1" s="733"/>
      <c r="K1" s="733"/>
      <c r="L1" s="733"/>
      <c r="M1" s="733"/>
      <c r="N1" s="733"/>
      <c r="O1" s="733"/>
      <c r="P1" s="733"/>
      <c r="Q1" s="733"/>
      <c r="R1" s="733"/>
      <c r="S1" s="733"/>
      <c r="T1" s="733"/>
      <c r="U1" s="733"/>
      <c r="V1" s="733"/>
      <c r="W1" s="733"/>
      <c r="X1" s="733"/>
      <c r="Y1" s="733"/>
      <c r="Z1" s="733"/>
      <c r="AA1" s="733"/>
    </row>
    <row r="2" spans="1:27" ht="33" customHeight="1">
      <c r="A2" s="733"/>
      <c r="B2" s="733"/>
      <c r="C2" s="733"/>
      <c r="D2" s="733"/>
      <c r="E2" s="733"/>
      <c r="F2" s="733"/>
      <c r="G2" s="733"/>
      <c r="H2" s="733"/>
      <c r="I2" s="733"/>
      <c r="J2" s="733"/>
      <c r="K2" s="733"/>
      <c r="L2" s="733"/>
      <c r="M2" s="733"/>
      <c r="N2" s="733"/>
      <c r="O2" s="733"/>
      <c r="P2" s="733"/>
      <c r="Q2" s="733"/>
      <c r="R2" s="733"/>
      <c r="S2" s="733"/>
      <c r="T2" s="733"/>
      <c r="U2" s="733"/>
      <c r="V2" s="733"/>
      <c r="W2" s="733"/>
      <c r="X2" s="733"/>
      <c r="Y2" s="733"/>
      <c r="Z2" s="733"/>
      <c r="AA2" s="733"/>
    </row>
    <row r="3" spans="1:27" ht="14.25" customHeight="1" thickBot="1">
      <c r="A3" s="171"/>
      <c r="B3" s="171"/>
      <c r="C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519" t="s">
        <v>81</v>
      </c>
      <c r="S3" s="171"/>
      <c r="T3" s="520" t="s">
        <v>85</v>
      </c>
      <c r="U3" s="171"/>
      <c r="V3" s="171"/>
      <c r="W3" s="171"/>
      <c r="X3" s="171"/>
      <c r="Y3" s="171"/>
      <c r="Z3" s="171"/>
      <c r="AA3" s="171"/>
    </row>
    <row r="4" spans="1:27" ht="24" customHeight="1" thickBot="1">
      <c r="A4" s="734" t="s">
        <v>6</v>
      </c>
      <c r="B4" s="735" t="s">
        <v>7</v>
      </c>
      <c r="C4" s="734" t="s">
        <v>8</v>
      </c>
      <c r="D4" s="730" t="s">
        <v>83</v>
      </c>
      <c r="E4" s="730" t="s">
        <v>84</v>
      </c>
      <c r="F4" s="734" t="s">
        <v>50</v>
      </c>
      <c r="G4" s="734"/>
      <c r="H4" s="730" t="s">
        <v>82</v>
      </c>
      <c r="I4" s="736" t="s">
        <v>9</v>
      </c>
      <c r="J4" s="736"/>
      <c r="K4" s="736"/>
      <c r="L4" s="736"/>
      <c r="M4" s="736"/>
      <c r="N4" s="736"/>
      <c r="O4" s="736"/>
      <c r="P4" s="736"/>
      <c r="Q4" s="736"/>
      <c r="R4" s="736"/>
      <c r="S4" s="736"/>
      <c r="T4" s="736"/>
      <c r="U4" s="736"/>
      <c r="V4" s="172"/>
      <c r="W4" s="172"/>
      <c r="X4" s="172"/>
      <c r="Y4" s="171"/>
      <c r="Z4" s="171"/>
      <c r="AA4" s="171"/>
    </row>
    <row r="5" spans="1:27" ht="23.25" customHeight="1" thickBot="1">
      <c r="A5" s="734"/>
      <c r="B5" s="735"/>
      <c r="C5" s="734"/>
      <c r="D5" s="731"/>
      <c r="E5" s="731"/>
      <c r="F5" s="176" t="s">
        <v>49</v>
      </c>
      <c r="G5" s="392" t="s">
        <v>10</v>
      </c>
      <c r="H5" s="731"/>
      <c r="I5" s="737" t="s">
        <v>4</v>
      </c>
      <c r="J5" s="738"/>
      <c r="K5" s="176" t="s">
        <v>3</v>
      </c>
      <c r="L5" s="392" t="s">
        <v>0</v>
      </c>
      <c r="M5" s="176" t="s">
        <v>1</v>
      </c>
      <c r="N5" s="392" t="s">
        <v>5</v>
      </c>
      <c r="O5" s="176" t="s">
        <v>11</v>
      </c>
      <c r="P5" s="392" t="s">
        <v>12</v>
      </c>
      <c r="Q5" s="176" t="s">
        <v>13</v>
      </c>
      <c r="R5" s="392" t="s">
        <v>14</v>
      </c>
      <c r="S5" s="393" t="s">
        <v>15</v>
      </c>
      <c r="T5" s="394" t="s">
        <v>16</v>
      </c>
      <c r="U5" s="394" t="s">
        <v>17</v>
      </c>
      <c r="V5" s="174"/>
      <c r="W5" s="174"/>
      <c r="X5" s="174"/>
      <c r="Y5" s="175"/>
      <c r="Z5" s="171"/>
      <c r="AA5" s="171"/>
    </row>
    <row r="6" spans="1:27" ht="15.75" thickBot="1">
      <c r="A6" s="176"/>
      <c r="B6" s="176"/>
      <c r="C6" s="176"/>
      <c r="D6" s="524"/>
      <c r="E6" s="19"/>
      <c r="F6" s="395"/>
      <c r="G6" s="396"/>
      <c r="H6" s="396"/>
      <c r="I6" s="415" t="s">
        <v>49</v>
      </c>
      <c r="J6" s="474" t="s">
        <v>10</v>
      </c>
      <c r="K6" s="397"/>
      <c r="L6" s="398"/>
      <c r="M6" s="397"/>
      <c r="N6" s="398"/>
      <c r="O6" s="397"/>
      <c r="P6" s="398"/>
      <c r="Q6" s="397"/>
      <c r="R6" s="398"/>
      <c r="S6" s="397"/>
      <c r="T6" s="397"/>
      <c r="U6" s="398"/>
      <c r="V6" s="174"/>
      <c r="W6" s="174"/>
      <c r="X6" s="174"/>
      <c r="Y6" s="175"/>
      <c r="Z6" s="171"/>
      <c r="AA6" s="171"/>
    </row>
    <row r="7" spans="1:27" ht="21.75" customHeight="1" thickBot="1">
      <c r="A7" s="233">
        <v>1</v>
      </c>
      <c r="B7" s="178" t="s">
        <v>62</v>
      </c>
      <c r="C7" s="233" t="s">
        <v>19</v>
      </c>
      <c r="D7" s="581">
        <v>1013.91</v>
      </c>
      <c r="E7" s="625">
        <v>301.7</v>
      </c>
      <c r="F7" s="378">
        <v>489.178</v>
      </c>
      <c r="G7" s="378">
        <v>23.854</v>
      </c>
      <c r="H7" s="378">
        <f>F7-G7</f>
        <v>465.324</v>
      </c>
      <c r="I7" s="378">
        <f>I8+I9+I11</f>
        <v>70.81</v>
      </c>
      <c r="J7" s="499">
        <v>8.59</v>
      </c>
      <c r="K7" s="378">
        <v>45</v>
      </c>
      <c r="L7" s="378">
        <v>90</v>
      </c>
      <c r="M7" s="378">
        <v>100</v>
      </c>
      <c r="N7" s="378">
        <v>50</v>
      </c>
      <c r="O7" s="378">
        <v>40</v>
      </c>
      <c r="P7" s="378">
        <v>40</v>
      </c>
      <c r="Q7" s="378">
        <v>29.49</v>
      </c>
      <c r="R7" s="378"/>
      <c r="S7" s="378"/>
      <c r="T7" s="378"/>
      <c r="U7" s="378"/>
      <c r="V7" s="181">
        <f>SUM(I7:U7)</f>
        <v>473.89</v>
      </c>
      <c r="W7" s="182">
        <f>V7-H7</f>
        <v>8.565999999999974</v>
      </c>
      <c r="X7" s="183">
        <f>1020.81-88.25-243.16</f>
        <v>689.4</v>
      </c>
      <c r="Y7" s="175"/>
      <c r="Z7" s="171"/>
      <c r="AA7" s="171"/>
    </row>
    <row r="8" spans="1:27" ht="21" customHeight="1" thickBot="1">
      <c r="A8" s="220"/>
      <c r="B8" s="247" t="s">
        <v>63</v>
      </c>
      <c r="C8" s="220" t="s">
        <v>19</v>
      </c>
      <c r="D8" s="581">
        <v>369.45</v>
      </c>
      <c r="E8" s="626">
        <v>99.064</v>
      </c>
      <c r="F8" s="382">
        <v>184.711</v>
      </c>
      <c r="G8" s="382">
        <v>17.625</v>
      </c>
      <c r="H8" s="382">
        <f aca="true" t="shared" si="0" ref="H8:H32">F8-G8</f>
        <v>167.086</v>
      </c>
      <c r="I8" s="382">
        <v>20</v>
      </c>
      <c r="J8" s="500"/>
      <c r="K8" s="382">
        <v>20</v>
      </c>
      <c r="L8" s="382">
        <v>20</v>
      </c>
      <c r="M8" s="382">
        <v>30</v>
      </c>
      <c r="N8" s="382">
        <v>30</v>
      </c>
      <c r="O8" s="382">
        <v>20</v>
      </c>
      <c r="P8" s="382">
        <v>20</v>
      </c>
      <c r="Q8" s="382">
        <v>7.09</v>
      </c>
      <c r="R8" s="382"/>
      <c r="S8" s="382"/>
      <c r="T8" s="382"/>
      <c r="U8" s="382"/>
      <c r="V8" s="182">
        <f aca="true" t="shared" si="1" ref="V8:V32">SUM(I8:U8)</f>
        <v>167.09</v>
      </c>
      <c r="W8" s="183">
        <f aca="true" t="shared" si="2" ref="W8:W32">V8-H8</f>
        <v>0.003999999999990678</v>
      </c>
      <c r="X8" s="182"/>
      <c r="Y8" s="175"/>
      <c r="Z8" s="171"/>
      <c r="AA8" s="171"/>
    </row>
    <row r="9" spans="1:27" ht="24" customHeight="1" thickBot="1">
      <c r="A9" s="220"/>
      <c r="B9" s="247" t="s">
        <v>64</v>
      </c>
      <c r="C9" s="220" t="s">
        <v>19</v>
      </c>
      <c r="D9" s="627">
        <v>516.579</v>
      </c>
      <c r="E9" s="628">
        <v>202.635</v>
      </c>
      <c r="F9" s="382">
        <v>182.034</v>
      </c>
      <c r="G9" s="382">
        <v>6.229</v>
      </c>
      <c r="H9" s="382">
        <f t="shared" si="0"/>
        <v>175.80499999999998</v>
      </c>
      <c r="I9" s="382">
        <v>50.81</v>
      </c>
      <c r="J9" s="500">
        <v>8.59</v>
      </c>
      <c r="K9" s="382">
        <v>25</v>
      </c>
      <c r="L9" s="382">
        <v>70</v>
      </c>
      <c r="M9" s="382">
        <v>70</v>
      </c>
      <c r="N9" s="382">
        <v>20</v>
      </c>
      <c r="O9" s="382">
        <v>20</v>
      </c>
      <c r="P9" s="382">
        <v>20</v>
      </c>
      <c r="Q9" s="382">
        <v>22.4</v>
      </c>
      <c r="R9" s="382"/>
      <c r="S9" s="382"/>
      <c r="T9" s="382"/>
      <c r="U9" s="382"/>
      <c r="V9" s="182">
        <f t="shared" si="1"/>
        <v>306.79999999999995</v>
      </c>
      <c r="W9" s="183">
        <f t="shared" si="2"/>
        <v>130.99499999999998</v>
      </c>
      <c r="X9" s="183">
        <f>406.1-X7</f>
        <v>-283.29999999999995</v>
      </c>
      <c r="Y9" s="175"/>
      <c r="Z9" s="171"/>
      <c r="AA9" s="171"/>
    </row>
    <row r="10" spans="1:27" ht="22.5" customHeight="1" thickBot="1">
      <c r="A10" s="220"/>
      <c r="B10" s="247" t="s">
        <v>65</v>
      </c>
      <c r="C10" s="220" t="s">
        <v>19</v>
      </c>
      <c r="D10" s="582">
        <v>127.881</v>
      </c>
      <c r="E10" s="583">
        <v>0</v>
      </c>
      <c r="F10" s="382">
        <v>122.433</v>
      </c>
      <c r="G10" s="382">
        <v>0</v>
      </c>
      <c r="H10" s="382">
        <f t="shared" si="0"/>
        <v>122.433</v>
      </c>
      <c r="I10" s="382"/>
      <c r="J10" s="500"/>
      <c r="K10" s="382"/>
      <c r="L10" s="382">
        <v>20</v>
      </c>
      <c r="M10" s="382">
        <v>20</v>
      </c>
      <c r="N10" s="382">
        <v>20</v>
      </c>
      <c r="O10" s="382">
        <v>20</v>
      </c>
      <c r="P10" s="382">
        <v>20</v>
      </c>
      <c r="Q10" s="382">
        <v>22.4</v>
      </c>
      <c r="R10" s="382"/>
      <c r="S10" s="382"/>
      <c r="T10" s="382"/>
      <c r="U10" s="382"/>
      <c r="V10" s="182">
        <f t="shared" si="1"/>
        <v>122.4</v>
      </c>
      <c r="W10" s="181">
        <f t="shared" si="2"/>
        <v>-0.03300000000000125</v>
      </c>
      <c r="X10" s="182"/>
      <c r="Y10" s="175"/>
      <c r="Z10" s="171"/>
      <c r="AA10" s="171"/>
    </row>
    <row r="11" spans="1:27" ht="22.5" customHeight="1" thickBot="1">
      <c r="A11" s="400">
        <v>2</v>
      </c>
      <c r="B11" s="401" t="s">
        <v>23</v>
      </c>
      <c r="C11" s="400" t="s">
        <v>19</v>
      </c>
      <c r="D11" s="577">
        <v>118.23</v>
      </c>
      <c r="E11" s="585">
        <v>46.5</v>
      </c>
      <c r="F11" s="382">
        <v>49.559</v>
      </c>
      <c r="G11" s="382">
        <v>5.337</v>
      </c>
      <c r="H11" s="382">
        <f t="shared" si="0"/>
        <v>44.221999999999994</v>
      </c>
      <c r="I11" s="382"/>
      <c r="J11" s="500"/>
      <c r="K11" s="382"/>
      <c r="L11" s="382">
        <v>20</v>
      </c>
      <c r="M11" s="382">
        <v>20</v>
      </c>
      <c r="N11" s="382">
        <v>4.221999999999994</v>
      </c>
      <c r="O11" s="382"/>
      <c r="P11" s="382"/>
      <c r="Q11" s="382"/>
      <c r="R11" s="382"/>
      <c r="S11" s="382"/>
      <c r="T11" s="382"/>
      <c r="U11" s="382"/>
      <c r="V11" s="182">
        <f t="shared" si="1"/>
        <v>44.221999999999994</v>
      </c>
      <c r="W11" s="182">
        <f t="shared" si="2"/>
        <v>0</v>
      </c>
      <c r="X11" s="182"/>
      <c r="Y11" s="175"/>
      <c r="Z11" s="171"/>
      <c r="AA11" s="171"/>
    </row>
    <row r="12" spans="1:27" ht="22.5" customHeight="1" thickBot="1">
      <c r="A12" s="233">
        <v>3</v>
      </c>
      <c r="B12" s="178" t="s">
        <v>66</v>
      </c>
      <c r="C12" s="233" t="s">
        <v>19</v>
      </c>
      <c r="D12" s="582">
        <v>0</v>
      </c>
      <c r="E12" s="583">
        <v>0</v>
      </c>
      <c r="F12" s="378">
        <v>23.449</v>
      </c>
      <c r="G12" s="378"/>
      <c r="H12" s="378">
        <f t="shared" si="0"/>
        <v>23.449</v>
      </c>
      <c r="I12" s="378"/>
      <c r="J12" s="499">
        <v>66.85</v>
      </c>
      <c r="K12" s="378"/>
      <c r="L12" s="378">
        <v>10</v>
      </c>
      <c r="M12" s="378">
        <v>10</v>
      </c>
      <c r="N12" s="378">
        <v>3.4490000000000016</v>
      </c>
      <c r="O12" s="378"/>
      <c r="P12" s="378"/>
      <c r="Q12" s="378"/>
      <c r="R12" s="378"/>
      <c r="S12" s="378"/>
      <c r="T12" s="378"/>
      <c r="U12" s="378"/>
      <c r="V12" s="182">
        <f t="shared" si="1"/>
        <v>90.29899999999999</v>
      </c>
      <c r="W12" s="182">
        <f t="shared" si="2"/>
        <v>66.85</v>
      </c>
      <c r="X12" s="182"/>
      <c r="Y12" s="175"/>
      <c r="Z12" s="171"/>
      <c r="AA12" s="171"/>
    </row>
    <row r="13" spans="1:27" ht="20.25" customHeight="1" thickBot="1">
      <c r="A13" s="241">
        <f>1+A12</f>
        <v>4</v>
      </c>
      <c r="B13" s="188" t="s">
        <v>25</v>
      </c>
      <c r="C13" s="241" t="s">
        <v>19</v>
      </c>
      <c r="D13" s="577">
        <v>643.892</v>
      </c>
      <c r="E13" s="585">
        <v>158</v>
      </c>
      <c r="F13" s="378">
        <v>1097.178</v>
      </c>
      <c r="G13" s="378">
        <v>47.178</v>
      </c>
      <c r="H13" s="378">
        <f t="shared" si="0"/>
        <v>1050</v>
      </c>
      <c r="I13" s="378">
        <v>400</v>
      </c>
      <c r="J13" s="499"/>
      <c r="K13" s="378">
        <v>200</v>
      </c>
      <c r="L13" s="378">
        <v>200</v>
      </c>
      <c r="M13" s="378">
        <v>200</v>
      </c>
      <c r="N13" s="378">
        <v>50.00000000000023</v>
      </c>
      <c r="O13" s="378"/>
      <c r="P13" s="378"/>
      <c r="Q13" s="378"/>
      <c r="R13" s="378"/>
      <c r="S13" s="378"/>
      <c r="T13" s="378"/>
      <c r="U13" s="378"/>
      <c r="V13" s="182">
        <f t="shared" si="1"/>
        <v>1050.0000000000002</v>
      </c>
      <c r="W13" s="182">
        <f t="shared" si="2"/>
        <v>0</v>
      </c>
      <c r="X13" s="182"/>
      <c r="Y13" s="175"/>
      <c r="Z13" s="171"/>
      <c r="AA13" s="171"/>
    </row>
    <row r="14" spans="1:27" ht="19.5" customHeight="1" thickBot="1">
      <c r="A14" s="241">
        <f aca="true" t="shared" si="3" ref="A14:A32">1+A13</f>
        <v>5</v>
      </c>
      <c r="B14" s="178" t="s">
        <v>67</v>
      </c>
      <c r="C14" s="233" t="s">
        <v>19</v>
      </c>
      <c r="D14" s="584">
        <v>11.377</v>
      </c>
      <c r="E14" s="578">
        <v>0</v>
      </c>
      <c r="F14" s="382">
        <v>11.377</v>
      </c>
      <c r="G14" s="382"/>
      <c r="H14" s="382">
        <f t="shared" si="0"/>
        <v>11.377</v>
      </c>
      <c r="I14" s="382"/>
      <c r="J14" s="500"/>
      <c r="K14" s="382"/>
      <c r="L14" s="382"/>
      <c r="M14" s="382">
        <v>2</v>
      </c>
      <c r="N14" s="382">
        <v>2</v>
      </c>
      <c r="O14" s="382">
        <v>2</v>
      </c>
      <c r="P14" s="382">
        <v>2</v>
      </c>
      <c r="Q14" s="382">
        <v>2</v>
      </c>
      <c r="R14" s="382">
        <v>1.3770000000000007</v>
      </c>
      <c r="S14" s="382"/>
      <c r="T14" s="382"/>
      <c r="U14" s="382"/>
      <c r="V14" s="182">
        <f>SUM(I14:U14)</f>
        <v>11.377</v>
      </c>
      <c r="W14" s="182">
        <f t="shared" si="2"/>
        <v>0</v>
      </c>
      <c r="X14" s="182"/>
      <c r="Y14" s="175"/>
      <c r="Z14" s="171"/>
      <c r="AA14" s="171"/>
    </row>
    <row r="15" spans="1:27" ht="22.5" customHeight="1" thickBot="1">
      <c r="A15" s="241">
        <f t="shared" si="3"/>
        <v>6</v>
      </c>
      <c r="B15" s="188" t="s">
        <v>27</v>
      </c>
      <c r="C15" s="241" t="s">
        <v>19</v>
      </c>
      <c r="D15" s="577">
        <v>17.06</v>
      </c>
      <c r="E15" s="585">
        <v>8.713</v>
      </c>
      <c r="F15" s="378">
        <v>13.087</v>
      </c>
      <c r="G15" s="378">
        <v>3</v>
      </c>
      <c r="H15" s="378">
        <f t="shared" si="0"/>
        <v>10.087</v>
      </c>
      <c r="I15" s="378"/>
      <c r="J15" s="499"/>
      <c r="K15" s="378"/>
      <c r="L15" s="378"/>
      <c r="M15" s="378">
        <v>1.5</v>
      </c>
      <c r="N15" s="378">
        <v>2</v>
      </c>
      <c r="O15" s="378">
        <v>2</v>
      </c>
      <c r="P15" s="378">
        <v>1.5</v>
      </c>
      <c r="Q15" s="378">
        <v>1.5</v>
      </c>
      <c r="R15" s="378">
        <v>1.5869999999999997</v>
      </c>
      <c r="S15" s="378"/>
      <c r="T15" s="378"/>
      <c r="U15" s="378"/>
      <c r="V15" s="182">
        <f t="shared" si="1"/>
        <v>10.087</v>
      </c>
      <c r="W15" s="182">
        <f t="shared" si="2"/>
        <v>0</v>
      </c>
      <c r="X15" s="182"/>
      <c r="Y15" s="175"/>
      <c r="Z15" s="171"/>
      <c r="AA15" s="171"/>
    </row>
    <row r="16" spans="1:27" ht="20.25" customHeight="1" thickBot="1">
      <c r="A16" s="241">
        <f t="shared" si="3"/>
        <v>7</v>
      </c>
      <c r="B16" s="178" t="s">
        <v>28</v>
      </c>
      <c r="C16" s="233" t="s">
        <v>29</v>
      </c>
      <c r="D16" s="584"/>
      <c r="E16" s="578">
        <v>0.56</v>
      </c>
      <c r="F16" s="382"/>
      <c r="G16" s="382"/>
      <c r="H16" s="382">
        <f t="shared" si="0"/>
        <v>0</v>
      </c>
      <c r="I16" s="382"/>
      <c r="J16" s="500"/>
      <c r="K16" s="382"/>
      <c r="L16" s="382"/>
      <c r="M16" s="382"/>
      <c r="N16" s="382"/>
      <c r="O16" s="382"/>
      <c r="P16" s="382"/>
      <c r="Q16" s="382"/>
      <c r="R16" s="382"/>
      <c r="S16" s="382"/>
      <c r="T16" s="382"/>
      <c r="U16" s="382"/>
      <c r="V16" s="182">
        <f t="shared" si="1"/>
        <v>0</v>
      </c>
      <c r="W16" s="182">
        <f t="shared" si="2"/>
        <v>0</v>
      </c>
      <c r="X16" s="182"/>
      <c r="Y16" s="175"/>
      <c r="Z16" s="171"/>
      <c r="AA16" s="171"/>
    </row>
    <row r="17" spans="1:27" ht="21.75" customHeight="1" thickBot="1">
      <c r="A17" s="241">
        <f t="shared" si="3"/>
        <v>8</v>
      </c>
      <c r="B17" s="188" t="s">
        <v>30</v>
      </c>
      <c r="C17" s="241" t="s">
        <v>31</v>
      </c>
      <c r="D17" s="577">
        <v>10.891</v>
      </c>
      <c r="E17" s="585">
        <v>8.713</v>
      </c>
      <c r="F17" s="378">
        <v>3.242</v>
      </c>
      <c r="G17" s="378">
        <v>1.539</v>
      </c>
      <c r="H17" s="378">
        <f t="shared" si="0"/>
        <v>1.703</v>
      </c>
      <c r="I17" s="378">
        <v>0.8</v>
      </c>
      <c r="J17" s="499">
        <v>17.85</v>
      </c>
      <c r="K17" s="378">
        <v>0.4</v>
      </c>
      <c r="L17" s="378">
        <v>0.5</v>
      </c>
      <c r="M17" s="378"/>
      <c r="N17" s="378"/>
      <c r="O17" s="378"/>
      <c r="P17" s="378"/>
      <c r="Q17" s="378"/>
      <c r="R17" s="378"/>
      <c r="S17" s="378"/>
      <c r="T17" s="378"/>
      <c r="U17" s="378"/>
      <c r="V17" s="182">
        <f t="shared" si="1"/>
        <v>19.55</v>
      </c>
      <c r="W17" s="182">
        <f t="shared" si="2"/>
        <v>17.847</v>
      </c>
      <c r="X17" s="182"/>
      <c r="Y17" s="175"/>
      <c r="Z17" s="171"/>
      <c r="AA17" s="171"/>
    </row>
    <row r="18" spans="1:27" ht="21.75" customHeight="1" thickBot="1">
      <c r="A18" s="241">
        <f t="shared" si="3"/>
        <v>9</v>
      </c>
      <c r="B18" s="188" t="s">
        <v>75</v>
      </c>
      <c r="C18" s="241" t="s">
        <v>31</v>
      </c>
      <c r="D18" s="584">
        <v>1786</v>
      </c>
      <c r="E18" s="578">
        <v>486</v>
      </c>
      <c r="F18" s="382">
        <v>1300.494</v>
      </c>
      <c r="G18" s="382">
        <v>33.81</v>
      </c>
      <c r="H18" s="382">
        <f t="shared" si="0"/>
        <v>1266.684</v>
      </c>
      <c r="I18" s="382">
        <v>160</v>
      </c>
      <c r="J18" s="500"/>
      <c r="K18" s="382">
        <v>160</v>
      </c>
      <c r="L18" s="382">
        <v>160</v>
      </c>
      <c r="M18" s="382">
        <v>160</v>
      </c>
      <c r="N18" s="382">
        <v>160</v>
      </c>
      <c r="O18" s="382">
        <v>160</v>
      </c>
      <c r="P18" s="382">
        <v>160</v>
      </c>
      <c r="Q18" s="382">
        <v>146.68</v>
      </c>
      <c r="R18" s="382"/>
      <c r="S18" s="382"/>
      <c r="T18" s="382"/>
      <c r="U18" s="382"/>
      <c r="V18" s="182"/>
      <c r="W18" s="182"/>
      <c r="X18" s="182"/>
      <c r="Y18" s="175"/>
      <c r="Z18" s="171"/>
      <c r="AA18" s="171"/>
    </row>
    <row r="19" spans="1:27" ht="21" customHeight="1" thickBot="1">
      <c r="A19" s="241">
        <f t="shared" si="3"/>
        <v>10</v>
      </c>
      <c r="B19" s="178" t="s">
        <v>32</v>
      </c>
      <c r="C19" s="233" t="s">
        <v>2</v>
      </c>
      <c r="D19" s="577">
        <v>779.424</v>
      </c>
      <c r="E19" s="585">
        <v>0</v>
      </c>
      <c r="F19" s="382">
        <v>779.424</v>
      </c>
      <c r="G19" s="382">
        <v>0</v>
      </c>
      <c r="H19" s="382">
        <f>F19-G19</f>
        <v>779.424</v>
      </c>
      <c r="I19" s="382">
        <v>90</v>
      </c>
      <c r="J19" s="500"/>
      <c r="K19" s="382">
        <v>60</v>
      </c>
      <c r="L19" s="382">
        <v>130</v>
      </c>
      <c r="M19" s="382">
        <v>130</v>
      </c>
      <c r="N19" s="382">
        <v>130</v>
      </c>
      <c r="O19" s="382">
        <v>129</v>
      </c>
      <c r="P19" s="382">
        <v>110.42</v>
      </c>
      <c r="Q19" s="382"/>
      <c r="R19" s="382"/>
      <c r="S19" s="382"/>
      <c r="T19" s="382"/>
      <c r="U19" s="382"/>
      <c r="V19" s="182">
        <f t="shared" si="1"/>
        <v>779.42</v>
      </c>
      <c r="W19" s="182">
        <f t="shared" si="2"/>
        <v>-0.004000000000019099</v>
      </c>
      <c r="X19" s="182"/>
      <c r="Y19" s="175"/>
      <c r="Z19" s="171"/>
      <c r="AA19" s="171"/>
    </row>
    <row r="20" spans="1:27" ht="19.5" customHeight="1" thickBot="1">
      <c r="A20" s="241">
        <f t="shared" si="3"/>
        <v>11</v>
      </c>
      <c r="B20" s="188" t="s">
        <v>33</v>
      </c>
      <c r="C20" s="241" t="s">
        <v>19</v>
      </c>
      <c r="D20" s="586">
        <v>1665</v>
      </c>
      <c r="E20" s="587">
        <v>0</v>
      </c>
      <c r="F20" s="378">
        <v>1665</v>
      </c>
      <c r="G20" s="378"/>
      <c r="H20" s="378">
        <f t="shared" si="0"/>
        <v>1665</v>
      </c>
      <c r="I20" s="378"/>
      <c r="J20" s="499"/>
      <c r="K20" s="378"/>
      <c r="L20" s="378"/>
      <c r="M20" s="378"/>
      <c r="N20" s="378"/>
      <c r="O20" s="378"/>
      <c r="P20" s="378">
        <v>800</v>
      </c>
      <c r="Q20" s="378">
        <v>865</v>
      </c>
      <c r="R20" s="378"/>
      <c r="S20" s="378"/>
      <c r="T20" s="378"/>
      <c r="U20" s="378"/>
      <c r="V20" s="182">
        <f t="shared" si="1"/>
        <v>1665</v>
      </c>
      <c r="W20" s="182">
        <f t="shared" si="2"/>
        <v>0</v>
      </c>
      <c r="X20" s="182"/>
      <c r="Y20" s="175"/>
      <c r="Z20" s="171"/>
      <c r="AA20" s="171"/>
    </row>
    <row r="21" spans="1:27" ht="20.25" customHeight="1" thickBot="1">
      <c r="A21" s="241">
        <f t="shared" si="3"/>
        <v>12</v>
      </c>
      <c r="B21" s="178" t="s">
        <v>34</v>
      </c>
      <c r="C21" s="233" t="s">
        <v>35</v>
      </c>
      <c r="D21" s="577">
        <v>24.48</v>
      </c>
      <c r="E21" s="585">
        <v>0</v>
      </c>
      <c r="F21" s="382">
        <v>24.48</v>
      </c>
      <c r="G21" s="382"/>
      <c r="H21" s="382">
        <f t="shared" si="0"/>
        <v>24.48</v>
      </c>
      <c r="I21" s="382"/>
      <c r="J21" s="500"/>
      <c r="K21" s="382"/>
      <c r="L21" s="382"/>
      <c r="M21" s="382"/>
      <c r="N21" s="382"/>
      <c r="O21" s="382">
        <v>12</v>
      </c>
      <c r="P21" s="382">
        <v>12.48</v>
      </c>
      <c r="Q21" s="382"/>
      <c r="R21" s="382"/>
      <c r="S21" s="382"/>
      <c r="T21" s="382"/>
      <c r="U21" s="382"/>
      <c r="V21" s="182">
        <f t="shared" si="1"/>
        <v>24.48</v>
      </c>
      <c r="W21" s="182">
        <f t="shared" si="2"/>
        <v>0</v>
      </c>
      <c r="X21" s="182"/>
      <c r="Y21" s="175"/>
      <c r="Z21" s="171"/>
      <c r="AA21" s="171"/>
    </row>
    <row r="22" spans="1:27" ht="24" customHeight="1" thickBot="1">
      <c r="A22" s="241">
        <f t="shared" si="3"/>
        <v>13</v>
      </c>
      <c r="B22" s="247" t="s">
        <v>36</v>
      </c>
      <c r="C22" s="220" t="s">
        <v>2</v>
      </c>
      <c r="D22" s="582">
        <v>892</v>
      </c>
      <c r="E22" s="583">
        <v>0</v>
      </c>
      <c r="F22" s="378">
        <v>892</v>
      </c>
      <c r="G22" s="378"/>
      <c r="H22" s="378">
        <f t="shared" si="0"/>
        <v>892</v>
      </c>
      <c r="I22" s="378">
        <v>100</v>
      </c>
      <c r="J22" s="499"/>
      <c r="K22" s="378">
        <v>450</v>
      </c>
      <c r="L22" s="378">
        <v>342</v>
      </c>
      <c r="M22" s="378"/>
      <c r="N22" s="378"/>
      <c r="O22" s="378"/>
      <c r="P22" s="378"/>
      <c r="Q22" s="378"/>
      <c r="R22" s="378"/>
      <c r="S22" s="378"/>
      <c r="T22" s="378"/>
      <c r="U22" s="378"/>
      <c r="V22" s="182">
        <f t="shared" si="1"/>
        <v>892</v>
      </c>
      <c r="W22" s="182">
        <f t="shared" si="2"/>
        <v>0</v>
      </c>
      <c r="X22" s="182"/>
      <c r="Y22" s="201"/>
      <c r="Z22" s="171"/>
      <c r="AA22" s="171"/>
    </row>
    <row r="23" spans="1:27" ht="20.25" customHeight="1" thickBot="1">
      <c r="A23" s="241">
        <f t="shared" si="3"/>
        <v>14</v>
      </c>
      <c r="B23" s="178" t="s">
        <v>37</v>
      </c>
      <c r="C23" s="233" t="s">
        <v>2</v>
      </c>
      <c r="D23" s="577">
        <v>378</v>
      </c>
      <c r="E23" s="585">
        <v>0</v>
      </c>
      <c r="F23" s="382">
        <v>378</v>
      </c>
      <c r="G23" s="382"/>
      <c r="H23" s="382">
        <f t="shared" si="0"/>
        <v>378</v>
      </c>
      <c r="I23" s="382"/>
      <c r="J23" s="500"/>
      <c r="K23" s="382"/>
      <c r="L23" s="382"/>
      <c r="M23" s="382"/>
      <c r="N23" s="382"/>
      <c r="O23" s="382"/>
      <c r="P23" s="382">
        <v>378</v>
      </c>
      <c r="Q23" s="382"/>
      <c r="R23" s="382"/>
      <c r="S23" s="382"/>
      <c r="T23" s="382"/>
      <c r="U23" s="382"/>
      <c r="V23" s="182">
        <f t="shared" si="1"/>
        <v>378</v>
      </c>
      <c r="W23" s="182">
        <f t="shared" si="2"/>
        <v>0</v>
      </c>
      <c r="X23" s="182"/>
      <c r="Y23" s="175"/>
      <c r="Z23" s="171"/>
      <c r="AA23" s="171"/>
    </row>
    <row r="24" spans="1:27" ht="24" customHeight="1" thickBot="1">
      <c r="A24" s="241">
        <f t="shared" si="3"/>
        <v>15</v>
      </c>
      <c r="B24" s="247" t="s">
        <v>38</v>
      </c>
      <c r="C24" s="220" t="s">
        <v>35</v>
      </c>
      <c r="D24" s="582">
        <v>140</v>
      </c>
      <c r="E24" s="583">
        <v>0</v>
      </c>
      <c r="F24" s="378">
        <v>140</v>
      </c>
      <c r="G24" s="378"/>
      <c r="H24" s="378">
        <f t="shared" si="0"/>
        <v>140</v>
      </c>
      <c r="I24" s="378"/>
      <c r="J24" s="499"/>
      <c r="K24" s="378"/>
      <c r="L24" s="378"/>
      <c r="M24" s="378"/>
      <c r="N24" s="378"/>
      <c r="O24" s="378">
        <v>60</v>
      </c>
      <c r="P24" s="378">
        <v>40</v>
      </c>
      <c r="Q24" s="378">
        <v>40</v>
      </c>
      <c r="R24" s="378"/>
      <c r="S24" s="378"/>
      <c r="T24" s="378"/>
      <c r="U24" s="378"/>
      <c r="V24" s="182">
        <f t="shared" si="1"/>
        <v>140</v>
      </c>
      <c r="W24" s="182">
        <f t="shared" si="2"/>
        <v>0</v>
      </c>
      <c r="X24" s="182"/>
      <c r="Y24" s="175"/>
      <c r="Z24" s="171"/>
      <c r="AA24" s="171"/>
    </row>
    <row r="25" spans="1:27" ht="26.25" thickBot="1">
      <c r="A25" s="241">
        <f t="shared" si="3"/>
        <v>16</v>
      </c>
      <c r="B25" s="178" t="s">
        <v>39</v>
      </c>
      <c r="C25" s="233" t="s">
        <v>2</v>
      </c>
      <c r="D25" s="577">
        <v>58702</v>
      </c>
      <c r="E25" s="585">
        <v>58702</v>
      </c>
      <c r="F25" s="382">
        <v>58702</v>
      </c>
      <c r="G25" s="382">
        <v>58702</v>
      </c>
      <c r="H25" s="382">
        <f t="shared" si="0"/>
        <v>0</v>
      </c>
      <c r="I25" s="382"/>
      <c r="J25" s="500"/>
      <c r="K25" s="382"/>
      <c r="L25" s="382"/>
      <c r="M25" s="382"/>
      <c r="N25" s="382"/>
      <c r="O25" s="382"/>
      <c r="P25" s="382"/>
      <c r="Q25" s="382"/>
      <c r="R25" s="382"/>
      <c r="S25" s="382"/>
      <c r="T25" s="382"/>
      <c r="U25" s="382"/>
      <c r="V25" s="182">
        <f t="shared" si="1"/>
        <v>0</v>
      </c>
      <c r="W25" s="182">
        <f t="shared" si="2"/>
        <v>0</v>
      </c>
      <c r="X25" s="182"/>
      <c r="Y25" s="175"/>
      <c r="Z25" s="171"/>
      <c r="AA25" s="171"/>
    </row>
    <row r="26" spans="1:27" ht="22.5" customHeight="1" thickBot="1">
      <c r="A26" s="241">
        <f t="shared" si="3"/>
        <v>17</v>
      </c>
      <c r="B26" s="247" t="s">
        <v>40</v>
      </c>
      <c r="C26" s="220" t="s">
        <v>41</v>
      </c>
      <c r="D26" s="589">
        <v>378</v>
      </c>
      <c r="E26" s="588">
        <v>0</v>
      </c>
      <c r="F26" s="378">
        <v>378</v>
      </c>
      <c r="G26" s="378"/>
      <c r="H26" s="378">
        <f t="shared" si="0"/>
        <v>378</v>
      </c>
      <c r="I26" s="378"/>
      <c r="J26" s="499"/>
      <c r="K26" s="378"/>
      <c r="L26" s="378"/>
      <c r="M26" s="378"/>
      <c r="N26" s="378"/>
      <c r="O26" s="378"/>
      <c r="P26" s="378">
        <v>378</v>
      </c>
      <c r="Q26" s="378"/>
      <c r="R26" s="378"/>
      <c r="S26" s="378"/>
      <c r="T26" s="378"/>
      <c r="U26" s="378"/>
      <c r="V26" s="182">
        <f t="shared" si="1"/>
        <v>378</v>
      </c>
      <c r="W26" s="182">
        <f t="shared" si="2"/>
        <v>0</v>
      </c>
      <c r="X26" s="182"/>
      <c r="Y26" s="175"/>
      <c r="Z26" s="171"/>
      <c r="AA26" s="171"/>
    </row>
    <row r="27" spans="1:27" ht="23.25" customHeight="1" thickBot="1">
      <c r="A27" s="241">
        <f t="shared" si="3"/>
        <v>18</v>
      </c>
      <c r="B27" s="247" t="s">
        <v>68</v>
      </c>
      <c r="C27" s="220" t="s">
        <v>41</v>
      </c>
      <c r="D27" s="588">
        <v>216</v>
      </c>
      <c r="E27" s="588">
        <v>0</v>
      </c>
      <c r="F27" s="382">
        <v>216</v>
      </c>
      <c r="G27" s="382"/>
      <c r="H27" s="382">
        <f t="shared" si="0"/>
        <v>216</v>
      </c>
      <c r="I27" s="382"/>
      <c r="J27" s="500"/>
      <c r="K27" s="382"/>
      <c r="L27" s="382"/>
      <c r="M27" s="382"/>
      <c r="N27" s="382"/>
      <c r="O27" s="382">
        <v>100</v>
      </c>
      <c r="P27" s="382">
        <v>116</v>
      </c>
      <c r="Q27" s="382"/>
      <c r="R27" s="382"/>
      <c r="S27" s="382"/>
      <c r="T27" s="382"/>
      <c r="U27" s="382"/>
      <c r="V27" s="182">
        <f t="shared" si="1"/>
        <v>216</v>
      </c>
      <c r="W27" s="182">
        <f t="shared" si="2"/>
        <v>0</v>
      </c>
      <c r="X27" s="182"/>
      <c r="Y27" s="175"/>
      <c r="Z27" s="171"/>
      <c r="AA27" s="171"/>
    </row>
    <row r="28" spans="1:27" ht="21" customHeight="1" thickBot="1">
      <c r="A28" s="241">
        <f t="shared" si="3"/>
        <v>19</v>
      </c>
      <c r="B28" s="178" t="s">
        <v>43</v>
      </c>
      <c r="C28" s="233" t="s">
        <v>19</v>
      </c>
      <c r="D28" s="582">
        <v>0.379</v>
      </c>
      <c r="E28" s="583">
        <v>0</v>
      </c>
      <c r="F28" s="378"/>
      <c r="G28" s="378"/>
      <c r="H28" s="378">
        <f t="shared" si="0"/>
        <v>0</v>
      </c>
      <c r="I28" s="378"/>
      <c r="J28" s="499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  <c r="V28" s="182">
        <f t="shared" si="1"/>
        <v>0</v>
      </c>
      <c r="W28" s="182">
        <f t="shared" si="2"/>
        <v>0</v>
      </c>
      <c r="X28" s="182"/>
      <c r="Y28" s="175"/>
      <c r="Z28" s="171"/>
      <c r="AA28" s="171"/>
    </row>
    <row r="29" spans="1:27" ht="25.5" customHeight="1" thickBot="1">
      <c r="A29" s="241">
        <f t="shared" si="3"/>
        <v>20</v>
      </c>
      <c r="B29" s="247" t="s">
        <v>44</v>
      </c>
      <c r="C29" s="219" t="s">
        <v>45</v>
      </c>
      <c r="D29" s="632"/>
      <c r="E29" s="632"/>
      <c r="F29" s="629"/>
      <c r="G29" s="378"/>
      <c r="H29" s="378"/>
      <c r="I29" s="378"/>
      <c r="J29" s="499"/>
      <c r="K29" s="378"/>
      <c r="L29" s="378"/>
      <c r="M29" s="378"/>
      <c r="N29" s="378"/>
      <c r="O29" s="378"/>
      <c r="P29" s="378"/>
      <c r="Q29" s="378"/>
      <c r="R29" s="378"/>
      <c r="S29" s="378"/>
      <c r="T29" s="378"/>
      <c r="U29" s="378"/>
      <c r="V29" s="182">
        <f t="shared" si="1"/>
        <v>0</v>
      </c>
      <c r="W29" s="182">
        <f t="shared" si="2"/>
        <v>0</v>
      </c>
      <c r="X29" s="182"/>
      <c r="Y29" s="175"/>
      <c r="Z29" s="171"/>
      <c r="AA29" s="171"/>
    </row>
    <row r="30" spans="1:27" ht="27" customHeight="1" thickBot="1">
      <c r="A30" s="241">
        <f t="shared" si="3"/>
        <v>21</v>
      </c>
      <c r="B30" s="247" t="s">
        <v>46</v>
      </c>
      <c r="C30" s="219" t="s">
        <v>19</v>
      </c>
      <c r="D30" s="632"/>
      <c r="E30" s="632"/>
      <c r="F30" s="629"/>
      <c r="G30" s="378"/>
      <c r="H30" s="378"/>
      <c r="I30" s="378"/>
      <c r="J30" s="499"/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182">
        <f t="shared" si="1"/>
        <v>0</v>
      </c>
      <c r="W30" s="182">
        <f t="shared" si="2"/>
        <v>0</v>
      </c>
      <c r="X30" s="182"/>
      <c r="Y30" s="175"/>
      <c r="Z30" s="171"/>
      <c r="AA30" s="171"/>
    </row>
    <row r="31" spans="1:27" ht="19.5" customHeight="1" thickBot="1">
      <c r="A31" s="241">
        <f t="shared" si="3"/>
        <v>22</v>
      </c>
      <c r="B31" s="247" t="s">
        <v>47</v>
      </c>
      <c r="C31" s="219" t="s">
        <v>19</v>
      </c>
      <c r="D31" s="632"/>
      <c r="E31" s="632"/>
      <c r="F31" s="629"/>
      <c r="G31" s="378"/>
      <c r="H31" s="378"/>
      <c r="I31" s="378"/>
      <c r="J31" s="499"/>
      <c r="K31" s="378"/>
      <c r="L31" s="378"/>
      <c r="M31" s="378"/>
      <c r="N31" s="378"/>
      <c r="O31" s="378"/>
      <c r="P31" s="378"/>
      <c r="Q31" s="378"/>
      <c r="R31" s="378"/>
      <c r="S31" s="378"/>
      <c r="T31" s="378"/>
      <c r="U31" s="378"/>
      <c r="V31" s="182">
        <f t="shared" si="1"/>
        <v>0</v>
      </c>
      <c r="W31" s="182">
        <f t="shared" si="2"/>
        <v>0</v>
      </c>
      <c r="X31" s="182"/>
      <c r="Y31" s="175"/>
      <c r="Z31" s="171"/>
      <c r="AA31" s="171"/>
    </row>
    <row r="32" spans="1:27" ht="22.5" customHeight="1" thickBot="1">
      <c r="A32" s="241">
        <f t="shared" si="3"/>
        <v>23</v>
      </c>
      <c r="B32" s="247" t="s">
        <v>48</v>
      </c>
      <c r="C32" s="220" t="s">
        <v>41</v>
      </c>
      <c r="D32" s="630">
        <v>239.55</v>
      </c>
      <c r="E32" s="631">
        <v>15.28</v>
      </c>
      <c r="F32" s="382">
        <v>224.27</v>
      </c>
      <c r="G32" s="382"/>
      <c r="H32" s="382">
        <f t="shared" si="0"/>
        <v>224.27</v>
      </c>
      <c r="I32" s="382">
        <v>50</v>
      </c>
      <c r="J32" s="500"/>
      <c r="K32" s="382">
        <v>50</v>
      </c>
      <c r="L32" s="382">
        <v>50</v>
      </c>
      <c r="M32" s="382">
        <v>50</v>
      </c>
      <c r="N32" s="382">
        <v>24.27</v>
      </c>
      <c r="O32" s="382"/>
      <c r="P32" s="382"/>
      <c r="Q32" s="382"/>
      <c r="R32" s="382"/>
      <c r="S32" s="382"/>
      <c r="T32" s="382"/>
      <c r="U32" s="382"/>
      <c r="V32" s="182">
        <f t="shared" si="1"/>
        <v>224.27</v>
      </c>
      <c r="W32" s="182">
        <f t="shared" si="2"/>
        <v>0</v>
      </c>
      <c r="X32" s="182"/>
      <c r="Y32" s="171"/>
      <c r="Z32" s="171"/>
      <c r="AA32" s="171"/>
    </row>
    <row r="33" spans="1:24" ht="15">
      <c r="A33" s="6"/>
      <c r="B33" s="7"/>
      <c r="C33" s="8"/>
      <c r="D33" s="8"/>
      <c r="E33" s="8"/>
      <c r="F33" s="9"/>
      <c r="G33" s="10"/>
      <c r="H33" s="10"/>
      <c r="I33" s="9"/>
      <c r="J33" s="11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15">
      <c r="A34" s="6"/>
      <c r="B34" s="7"/>
      <c r="C34" s="8"/>
      <c r="D34" s="8"/>
      <c r="E34" s="8"/>
      <c r="F34" s="9"/>
      <c r="G34" s="10"/>
      <c r="H34" s="10"/>
      <c r="I34" s="9"/>
      <c r="J34" s="11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5">
      <c r="A35" s="6"/>
      <c r="B35" s="732"/>
      <c r="C35" s="732"/>
      <c r="D35" s="732"/>
      <c r="E35" s="732"/>
      <c r="F35" s="732"/>
      <c r="G35" s="732"/>
      <c r="H35" s="732"/>
      <c r="I35" s="9"/>
      <c r="J35" s="11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ht="15">
      <c r="A36" s="6"/>
      <c r="B36" s="7"/>
      <c r="C36" s="8"/>
      <c r="F36" s="9"/>
      <c r="G36" s="10"/>
      <c r="H36" s="10"/>
      <c r="I36" s="9"/>
      <c r="J36" s="11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</sheetData>
  <sheetProtection/>
  <mergeCells count="11">
    <mergeCell ref="I5:J5"/>
    <mergeCell ref="D4:D5"/>
    <mergeCell ref="E4:E5"/>
    <mergeCell ref="B35:H35"/>
    <mergeCell ref="A1:AA2"/>
    <mergeCell ref="A4:A5"/>
    <mergeCell ref="B4:B5"/>
    <mergeCell ref="C4:C5"/>
    <mergeCell ref="F4:G4"/>
    <mergeCell ref="H4:H5"/>
    <mergeCell ref="I4:U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 Autalipov</dc:creator>
  <cp:keywords/>
  <dc:description/>
  <cp:lastModifiedBy>ADMIN</cp:lastModifiedBy>
  <cp:lastPrinted>2012-02-24T04:09:17Z</cp:lastPrinted>
  <dcterms:created xsi:type="dcterms:W3CDTF">2011-11-28T08:19:25Z</dcterms:created>
  <dcterms:modified xsi:type="dcterms:W3CDTF">2012-02-24T04:14:03Z</dcterms:modified>
  <cp:category/>
  <cp:version/>
  <cp:contentType/>
  <cp:contentStatus/>
</cp:coreProperties>
</file>