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45" windowWidth="15180" windowHeight="7785" tabRatio="829" activeTab="5"/>
  </bookViews>
  <sheets>
    <sheet name="1.Свод" sheetId="1" r:id="rId1"/>
    <sheet name="2.Техника" sheetId="2" r:id="rId2"/>
    <sheet name="3.Кадры-подр" sheetId="3" r:id="rId3"/>
    <sheet name="4.Материалы" sheetId="4" r:id="rId4"/>
    <sheet name="5.Выпол.работ" sheetId="5" r:id="rId5"/>
    <sheet name="6.Заг.ежед.инф." sheetId="6" r:id="rId6"/>
    <sheet name="7.Информация  " sheetId="7" r:id="rId7"/>
    <sheet name="8.Информация для Министра" sheetId="8" r:id="rId8"/>
    <sheet name="9.Департамент" sheetId="9" r:id="rId9"/>
  </sheets>
  <externalReferences>
    <externalReference r:id="rId12"/>
  </externalReferences>
  <definedNames>
    <definedName name="_xlnm.Print_Area" localSheetId="2">'3.Кадры-подр'!$A$1:$N$43</definedName>
    <definedName name="_xlnm.Print_Area" localSheetId="4">'5.Выпол.работ'!$A$1:$R$20</definedName>
    <definedName name="_xlnm.Print_Area" localSheetId="6">'7.Информация  '!$A$1:$S$14</definedName>
    <definedName name="_xlnm.Print_Area" localSheetId="7">'8.Информация для Министра'!$A$1:$P$14</definedName>
  </definedNames>
  <calcPr fullCalcOnLoad="1"/>
</workbook>
</file>

<file path=xl/sharedStrings.xml><?xml version="1.0" encoding="utf-8"?>
<sst xmlns="http://schemas.openxmlformats.org/spreadsheetml/2006/main" count="499" uniqueCount="326">
  <si>
    <t>Информация</t>
  </si>
  <si>
    <t xml:space="preserve"> </t>
  </si>
  <si>
    <t xml:space="preserve">       </t>
  </si>
  <si>
    <t>Остаток</t>
  </si>
  <si>
    <t>№</t>
  </si>
  <si>
    <t>Виды работ</t>
  </si>
  <si>
    <t>км</t>
  </si>
  <si>
    <t>Выполнено  за день</t>
  </si>
  <si>
    <t>Выполнено с начала года</t>
  </si>
  <si>
    <t>Жамбылская область</t>
  </si>
  <si>
    <t>Наименование подр.орг., протяженность</t>
  </si>
  <si>
    <t>верхний слой ШМА, Н-5 см</t>
  </si>
  <si>
    <t>нижний слой к/з а/б, Н-10 см</t>
  </si>
  <si>
    <t>Кызылординская область</t>
  </si>
  <si>
    <t>Актюбинская область</t>
  </si>
  <si>
    <t>АК "Дженгиз Иншаат Санайии Ве Тиджарет аноним Ширкети", 102 км</t>
  </si>
  <si>
    <t>% от год.плана</t>
  </si>
  <si>
    <t>Примечание</t>
  </si>
  <si>
    <t>%</t>
  </si>
  <si>
    <t>Выполн.</t>
  </si>
  <si>
    <t>Ежедн.норма</t>
  </si>
  <si>
    <t>тыс.м3</t>
  </si>
  <si>
    <t>Сутки</t>
  </si>
  <si>
    <t xml:space="preserve">Международный транзитный коридор "Западная Европа-Западный Китай"   </t>
  </si>
  <si>
    <t>Region/Наименование области</t>
  </si>
  <si>
    <t>Crushed stone/Щебень</t>
  </si>
  <si>
    <t>Sand and gravel mix/ПГС</t>
  </si>
  <si>
    <t>Reinforced concrete products/ЖБИ</t>
  </si>
  <si>
    <t>unit/ед.изм.</t>
  </si>
  <si>
    <t>Actual/Факт</t>
  </si>
  <si>
    <t>stock balance /остаток</t>
  </si>
  <si>
    <t>unit     /ед.изм.</t>
  </si>
  <si>
    <t>stock balance/остаток</t>
  </si>
  <si>
    <t xml:space="preserve"> Stocpiled from the biggining of the year /Выполненно с начала года</t>
  </si>
  <si>
    <t>Daily stocpile/Выполненно за день</t>
  </si>
  <si>
    <t>thous.m3 /тыс.м3</t>
  </si>
  <si>
    <t>thous. m3 /тыс.м3</t>
  </si>
  <si>
    <t>ЮКО</t>
  </si>
  <si>
    <t>Итого</t>
  </si>
  <si>
    <t>type of mat /наим.материала</t>
  </si>
  <si>
    <t>unit/ед.изм</t>
  </si>
  <si>
    <t>February/февраль</t>
  </si>
  <si>
    <t>plan/план</t>
  </si>
  <si>
    <t>actual /факт</t>
  </si>
  <si>
    <t>plan /план</t>
  </si>
  <si>
    <t>actual/факт</t>
  </si>
  <si>
    <t>Crushed stone /Щебень</t>
  </si>
  <si>
    <t>Gravel and sand mixture /ПГС</t>
  </si>
  <si>
    <t>Reinforced concrete products /ЖБИ</t>
  </si>
  <si>
    <t xml:space="preserve">Deputy Chief Engineer Resident                             </t>
  </si>
  <si>
    <t xml:space="preserve"> G.Tarakanova</t>
  </si>
  <si>
    <t xml:space="preserve">Зам. Резидента                                                        </t>
  </si>
  <si>
    <t>Тараканова Г.В.</t>
  </si>
  <si>
    <t>Information on stockpiling the material</t>
  </si>
  <si>
    <t>Aktobe oblast                             Актюбинская область</t>
  </si>
  <si>
    <t>Information</t>
  </si>
  <si>
    <t xml:space="preserve"> Aktobe-Martuk-Border of Russian Federation of the Road Reconstruction Project "Western Europe-Western China" </t>
  </si>
  <si>
    <t>Types of work                                                                     Виды работ</t>
  </si>
  <si>
    <t>Total Progress since beginning of the year                 Выполнено с начала года</t>
  </si>
  <si>
    <t>Total Progress 
to date          Выполнено за день</t>
  </si>
  <si>
    <t>Completed work since beginning of the year prised in equiv. rate                 Выполнено с начала года, в денежном эквиваленте</t>
  </si>
  <si>
    <t xml:space="preserve">Remaining (+), overfulfilment (-)                                                               Остаток (+), перевыполнение (-)                                                                  </t>
  </si>
  <si>
    <t xml:space="preserve"> The amount certificated for payment 
(in 1000 KZT)                          Предъявленная к оплате сумма сертификатов,           (млн. тенге)</t>
  </si>
  <si>
    <t>The amount paid 
to date                          (in 1000 KZT)                           Оплачено               (млн. тенге)</t>
  </si>
  <si>
    <t>Remarks                                                             Примечание</t>
  </si>
  <si>
    <t>кm</t>
  </si>
  <si>
    <t>Total Amount                  (in 1000 KZT)                         Cтоимость  (тыс.тг.)</t>
  </si>
  <si>
    <t>Unit rate 
 (in KZT                  цена за ед. (тыс.тг.)</t>
  </si>
  <si>
    <t>Total Amount                  (in 1000 KZT))                         Cтоимость  (тыс.тг.)</t>
  </si>
  <si>
    <t>AK "Cengiz Insaat Sanayii ve Ticaret Anonim Sirketi"   Contract :  SWCRP-0-102-EBRD/CW/  АК "Дженгиз Иншаат Санайии Ве Тиджарет аноним Ширкети"     Contract :  SWCRP-0-102-EBRD/CW</t>
  </si>
  <si>
    <t>Wearing course, Н-5 см                                  Верхний слой ЩМА, Н-5 см</t>
  </si>
  <si>
    <t>1 interim payment certificates                    
1 сертификат: 1230,052</t>
  </si>
  <si>
    <t>sum of  payment certificate                                       сумма 1 сертификата</t>
  </si>
  <si>
    <t>Asphaltic concrete base course, Н-10 см          Нижний слой к/з а/б, Н-10см</t>
  </si>
  <si>
    <t>Bridges, un.                                                                       Мосты, шт.</t>
  </si>
  <si>
    <t>Culverts, un                                                    Водопропускные трубы, шт.</t>
  </si>
  <si>
    <t>Total / Итого:</t>
  </si>
  <si>
    <t>Advance Payment / аванс             (2098,315)</t>
  </si>
  <si>
    <t>Зам. Резидента                                                                             Тараканова Г.В.</t>
  </si>
  <si>
    <t>по выполнению работ на объектах реконструкции проекта "Западная Европа-Западный Китай"</t>
  </si>
  <si>
    <t>о ходе реализации по проекту "Западная Европа - Западный Китай"</t>
  </si>
  <si>
    <t xml:space="preserve">   Информация по заготовке материалов</t>
  </si>
  <si>
    <t>Date:</t>
  </si>
  <si>
    <t>тыс.m3</t>
  </si>
  <si>
    <t>Total Amount 
(in 1000 KZT)                                         Cто-ть по графику произ-ва работ (тыс.тг.)</t>
  </si>
  <si>
    <t xml:space="preserve">Unit rate 
 (in KZT)                      цена за ед. (тыс.тг) </t>
  </si>
  <si>
    <t>Other works (reconstruction of communications), un                                                 Прочие работы (переустройство коммуникаций), шт</t>
  </si>
  <si>
    <t>Enclosure 3 / Приложение 3</t>
  </si>
  <si>
    <t>INFORMATION  /  ИНФОРМАЦИЯ</t>
  </si>
  <si>
    <t xml:space="preserve"> Stockpile of road construction materials / По заготовке дорожно-строительных материалов</t>
  </si>
  <si>
    <t>№ п/п</t>
  </si>
  <si>
    <t>Name of materials                                      Наименование материалов</t>
  </si>
  <si>
    <t>Unit                  Ед. изм.</t>
  </si>
  <si>
    <t>"Cengiz Insaat Sanayii Ve Ticaret A.S." SC</t>
  </si>
  <si>
    <t>Total project requirements                 Общая потребность по проекту</t>
  </si>
  <si>
    <t>Crushed stone fraction including                                       Щебень фракционный  в т.ч.</t>
  </si>
  <si>
    <t>Уд.вес ср.-ар.</t>
  </si>
  <si>
    <t>for asphalt concrete                                                      на приготовление а/бетона</t>
  </si>
  <si>
    <t>for base course  0-60 mm                                            на  притрассовые склады (для устройства основания фр.0-60 мм)</t>
  </si>
  <si>
    <t>Filler  including                                                   Отсев в т.ч.</t>
  </si>
  <si>
    <t>for asphalt concrete                                           на приготовление а/бетона</t>
  </si>
  <si>
    <t>for base course                                                            на  притрассовые склады (для устройства основания)</t>
  </si>
  <si>
    <t>cement                                                    Цемент</t>
  </si>
  <si>
    <t>sand and gravel mix 0-40 mm                                ПГС фр.0-40 мм</t>
  </si>
  <si>
    <t>reinforced concrete products                    ЖБИ</t>
  </si>
  <si>
    <t>Mineral powder                                         Минеральный порошок</t>
  </si>
  <si>
    <t>sand                                                                        Песок</t>
  </si>
  <si>
    <t>Geotextile                                 Геотекстиль</t>
  </si>
  <si>
    <t xml:space="preserve">                   Deputy Chief Engineer Resident                    G.Tarakanova</t>
  </si>
  <si>
    <t>Зам. Резидента                                                 Тараканова Г.В.</t>
  </si>
  <si>
    <t>Stockpiled                       Заготовл.</t>
  </si>
  <si>
    <t>thous. m3</t>
  </si>
  <si>
    <t xml:space="preserve">thous. t </t>
  </si>
  <si>
    <t>thous. m2</t>
  </si>
  <si>
    <t>Bitumen-total                                              Битум - всего</t>
  </si>
  <si>
    <t>Анкера для бетонного покрытия</t>
  </si>
  <si>
    <t>Дюбеля для бетонного покрытия</t>
  </si>
  <si>
    <t>Арматура для бетона</t>
  </si>
  <si>
    <t>на приготовление цементобетона</t>
  </si>
  <si>
    <t>Attachment 4/Приложение 4</t>
  </si>
  <si>
    <t>ИНФОРМАЦИЯ</t>
  </si>
  <si>
    <t>о количестве работников занятых в проекте</t>
  </si>
  <si>
    <t xml:space="preserve">Наименование </t>
  </si>
  <si>
    <t>всего</t>
  </si>
  <si>
    <t>в т.ч ин. персонал</t>
  </si>
  <si>
    <t>в т.ч. Казахстан. персонал</t>
  </si>
  <si>
    <t>в т.ч. местный персонал</t>
  </si>
  <si>
    <t>Engineer Technical Employees ИТР</t>
  </si>
  <si>
    <t>Office and management personnel/АУП</t>
  </si>
  <si>
    <t>fitters/слесари</t>
  </si>
  <si>
    <t>machanocs/механизаторы</t>
  </si>
  <si>
    <t>operators/операторы</t>
  </si>
  <si>
    <t>Монтажники и газоэлектросварщики</t>
  </si>
  <si>
    <t>Laborer /Разнорабочие . в т.ч.</t>
  </si>
  <si>
    <t>5.1.</t>
  </si>
  <si>
    <t>5.2.</t>
  </si>
  <si>
    <t>medical staff/медперсонал</t>
  </si>
  <si>
    <t>cooks/повара</t>
  </si>
  <si>
    <t>cleaners/технички</t>
  </si>
  <si>
    <t>laundress/прачки</t>
  </si>
  <si>
    <t>security/охрана</t>
  </si>
  <si>
    <t>procurement/снабженцы</t>
  </si>
  <si>
    <t>electricians/электрики</t>
  </si>
  <si>
    <t>Drivers/Водители</t>
  </si>
  <si>
    <t>Other services/Прочие услуги</t>
  </si>
  <si>
    <t>rent drivers/водители  по найму</t>
  </si>
  <si>
    <t>rent appartment/квартиры по найму</t>
  </si>
  <si>
    <t>Total in Project/Итого  на проекте</t>
  </si>
  <si>
    <t>Engineer service/Инженерная  служба</t>
  </si>
  <si>
    <t>TOTAL/ВСЕГО</t>
  </si>
  <si>
    <t>Зам. Резидента                                                                     Тараканова Г.В.</t>
  </si>
  <si>
    <t>INFORMATION</t>
  </si>
  <si>
    <t xml:space="preserve">Quantity of Project  Employees </t>
  </si>
  <si>
    <t>Operators and Mechanics                                                        Операторы и механизаторы</t>
  </si>
  <si>
    <t xml:space="preserve">Quality service and Laboratory                                Служба качества и лаборатория </t>
  </si>
  <si>
    <t xml:space="preserve">Surveyor service / Геодезическая служба </t>
  </si>
  <si>
    <t xml:space="preserve">Service personnel / Обслуживающий персонал </t>
  </si>
  <si>
    <t>5.3.</t>
  </si>
  <si>
    <t>7.1.</t>
  </si>
  <si>
    <t>7.2.</t>
  </si>
  <si>
    <t>8.1</t>
  </si>
  <si>
    <t>8.2</t>
  </si>
  <si>
    <t>8.3</t>
  </si>
  <si>
    <t>8.4</t>
  </si>
  <si>
    <t>8.5</t>
  </si>
  <si>
    <t>8.6</t>
  </si>
  <si>
    <t>8.7</t>
  </si>
  <si>
    <t>road makers / дор. рабочие</t>
  </si>
  <si>
    <t>technicians / тех. персонал</t>
  </si>
  <si>
    <t>10.1.</t>
  </si>
  <si>
    <t>10.2.</t>
  </si>
  <si>
    <t>Subcontractor personnel / Кроме того Персонал по выполнению мелких субподрядных работ, персонал задействованный на производстве ДСМ, обслуживании техники, поставке ДСМ и ГСМ</t>
  </si>
  <si>
    <t>Attachment5/Приложение 5</t>
  </si>
  <si>
    <t>№     п/п</t>
  </si>
  <si>
    <t>Name of equipment/Наименование</t>
  </si>
  <si>
    <t>ТОО "Gеngiz Insaat Sanayii ve Ticaret A.S."</t>
  </si>
  <si>
    <t>km/км</t>
  </si>
  <si>
    <t>Bulldozer/Бульдозер</t>
  </si>
  <si>
    <t>pcs/шт</t>
  </si>
  <si>
    <t>Excavator/Экскаватор</t>
  </si>
  <si>
    <t>Loader/Погрузчик</t>
  </si>
  <si>
    <t>Motor grader/Автогрейдер</t>
  </si>
  <si>
    <t>Milling machine/Фреза</t>
  </si>
  <si>
    <t xml:space="preserve">Rollers/Катки </t>
  </si>
  <si>
    <t>Asphalt paver / Асфальтоукладчик</t>
  </si>
  <si>
    <t>Бензовоз</t>
  </si>
  <si>
    <t>Тралл</t>
  </si>
  <si>
    <t>Битумовоз</t>
  </si>
  <si>
    <t>Автобус</t>
  </si>
  <si>
    <t>Миксеры</t>
  </si>
  <si>
    <t>ТОО "Иврус"</t>
  </si>
  <si>
    <t>Contractor           Генподрядчик</t>
  </si>
  <si>
    <t>о наличии техники проекта "ЗЕ-ЗК" по Актюбинской области</t>
  </si>
  <si>
    <t>км 0-102</t>
  </si>
  <si>
    <t>length / протяженность</t>
  </si>
  <si>
    <t>Unit                 Ед.изм.</t>
  </si>
  <si>
    <t>Mobilized              Мобилизовано</t>
  </si>
  <si>
    <t>TOTAL / ВСЕГО</t>
  </si>
  <si>
    <t>Tip trucks / Автосамосвалы</t>
  </si>
  <si>
    <t>Distributor / Автогудронатор</t>
  </si>
  <si>
    <t>Water sprayer truck                                      Поливомоечная машина</t>
  </si>
  <si>
    <t>Crane  / Кран</t>
  </si>
  <si>
    <t>Other machinery / Прочая техника</t>
  </si>
  <si>
    <t xml:space="preserve">Asphalt plant / АБЗ </t>
  </si>
  <si>
    <t>Concrete plant / ЦБЗ</t>
  </si>
  <si>
    <t>Crushing plant / ДСУ</t>
  </si>
  <si>
    <t xml:space="preserve">Cars / Легковой транспорт </t>
  </si>
  <si>
    <t>КМ25</t>
  </si>
  <si>
    <t xml:space="preserve">КМ 35 </t>
  </si>
  <si>
    <t>Работы на мостах</t>
  </si>
  <si>
    <r>
      <t>Note/</t>
    </r>
    <r>
      <rPr>
        <u val="single"/>
        <sz val="10"/>
        <rFont val="Arial"/>
        <family val="2"/>
      </rPr>
      <t>Примечание</t>
    </r>
    <r>
      <rPr>
        <sz val="10"/>
        <rFont val="Arial"/>
        <family val="2"/>
      </rPr>
      <t xml:space="preserve">:  </t>
    </r>
  </si>
  <si>
    <t>Transportation of crushed stone                        Вывозка щебня</t>
  </si>
  <si>
    <t>Transportation of gravel and sand mixture                                   Вывозка ГПС</t>
  </si>
  <si>
    <t>Bridges                                                    Мосты</t>
  </si>
  <si>
    <t>Дней по проекту</t>
  </si>
  <si>
    <t>Construction of upper layer of asphalt concrete pavement                              Устройство верх.слоя а/б покрытия</t>
  </si>
  <si>
    <t>Construction of base course of asphalt concrete pavement               Устройство ниж. слоя а/б покрытия</t>
  </si>
  <si>
    <t>Construction of upper layer of the base with high porous asphalt concrete Устройство верхнего слоя основания из высокопористого а/б</t>
  </si>
  <si>
    <t>Construction of base course        Устройство нижнего слоя основания</t>
  </si>
  <si>
    <t>Construction of subbase              Устройство подстилающего слоя</t>
  </si>
  <si>
    <t>Construction of subgrade            Устройство земляного полотна</t>
  </si>
  <si>
    <t>Construction of box culverts   Устройство водопропускных труб</t>
  </si>
  <si>
    <t>Construction of bypass                            Устройство объездной дороги</t>
  </si>
  <si>
    <t xml:space="preserve">Removal of topsoil                                Снятие растительного слоя </t>
  </si>
  <si>
    <t>length  /  Протяженность</t>
  </si>
  <si>
    <t>факт</t>
  </si>
  <si>
    <t>actual</t>
  </si>
  <si>
    <t>Unit                    Единица измерения</t>
  </si>
  <si>
    <t>Type of work / Наименование</t>
  </si>
  <si>
    <t>INFORMATION / ИНФОРМАЦИЯ</t>
  </si>
  <si>
    <t>Enclosure 2 / Приложение 2</t>
  </si>
  <si>
    <t>on work completed in Aktobe oblast / о проделанной  работе по Актюбинской области</t>
  </si>
  <si>
    <t>Всего по проекту</t>
  </si>
  <si>
    <t>thous.m3/              тыс.м3</t>
  </si>
  <si>
    <t>laying of geotextiles                              Укладка геотекстиля</t>
  </si>
  <si>
    <t>Вывозка ЖБИ</t>
  </si>
  <si>
    <t>Total project</t>
  </si>
  <si>
    <t>July / Июль</t>
  </si>
  <si>
    <t>August / Август</t>
  </si>
  <si>
    <t>March / Март</t>
  </si>
  <si>
    <t>April / Апрель</t>
  </si>
  <si>
    <t>May / Май</t>
  </si>
  <si>
    <t>June / Июнь</t>
  </si>
  <si>
    <t>January / Январь</t>
  </si>
  <si>
    <t>Прораб дней</t>
  </si>
  <si>
    <t>земляное полотно,т. м3</t>
  </si>
  <si>
    <t>земляное полотно,т. М3</t>
  </si>
  <si>
    <t>Soil subgrade, thousand т.м3                                        Земляное полотно, т.м3</t>
  </si>
  <si>
    <t xml:space="preserve">факт на </t>
  </si>
  <si>
    <t>факт на</t>
  </si>
  <si>
    <t>подсобные рабочие</t>
  </si>
  <si>
    <t>8.8</t>
  </si>
  <si>
    <t>кладовщик</t>
  </si>
  <si>
    <t>кол-во дней оставшихся до конца строительного сезона</t>
  </si>
  <si>
    <t>В примечании  указываете причину отставания погодные условия либо поломка асвальто уладчика и т.д.</t>
  </si>
  <si>
    <t xml:space="preserve">В обязатльном порядке заполняется все сроки. С обязательным указанием По таблицами ФИО иинженера отвечаюющего и предоставляющего информацию . В случае не исполнения инженеру будет обьявлен выговор с последующим отстранением. </t>
  </si>
  <si>
    <t>опер.</t>
  </si>
  <si>
    <t>отст.</t>
  </si>
  <si>
    <t>Реконструкция а/дороги «Актобе-граница РФ (на Оренбург)» км0-102</t>
  </si>
  <si>
    <t>Ежедневная информация</t>
  </si>
  <si>
    <t>Наименование работ</t>
  </si>
  <si>
    <t>Ед. изм</t>
  </si>
  <si>
    <t>План на год</t>
  </si>
  <si>
    <t>Фактически</t>
  </si>
  <si>
    <t>дни</t>
  </si>
  <si>
    <t>Всего для плана на день</t>
  </si>
  <si>
    <t>Устройство зем.полотна</t>
  </si>
  <si>
    <t>Фрезерование существующего асфальта</t>
  </si>
  <si>
    <t>Подстилающий слой</t>
  </si>
  <si>
    <t>Щебеночное основание</t>
  </si>
  <si>
    <t>Асфальтобетонное основание</t>
  </si>
  <si>
    <t>Нижний слой покрытия</t>
  </si>
  <si>
    <t>Верхний слой покрытия</t>
  </si>
  <si>
    <t>Мосты и путепроводы</t>
  </si>
  <si>
    <t>шт</t>
  </si>
  <si>
    <t>Водопропускные трубы</t>
  </si>
  <si>
    <t>Примечание: Работы на мостах в тенге</t>
  </si>
  <si>
    <t>пгс</t>
  </si>
  <si>
    <t>На проекте</t>
  </si>
  <si>
    <t>План на</t>
  </si>
  <si>
    <t>км13</t>
  </si>
  <si>
    <t>км54</t>
  </si>
  <si>
    <t>км24</t>
  </si>
  <si>
    <t>км25</t>
  </si>
  <si>
    <t>км35</t>
  </si>
  <si>
    <t>норма в день</t>
  </si>
  <si>
    <t>т.м3</t>
  </si>
  <si>
    <t>июль</t>
  </si>
  <si>
    <t>август</t>
  </si>
  <si>
    <t>сентябрь</t>
  </si>
  <si>
    <t>км10</t>
  </si>
  <si>
    <t>км4</t>
  </si>
  <si>
    <t xml:space="preserve">   </t>
  </si>
  <si>
    <t xml:space="preserve">по состоянию на </t>
  </si>
  <si>
    <r>
      <t>т.м</t>
    </r>
    <r>
      <rPr>
        <vertAlign val="superscript"/>
        <sz val="10"/>
        <color indexed="8"/>
        <rFont val="Arial"/>
        <family val="2"/>
      </rPr>
      <t>3</t>
    </r>
  </si>
  <si>
    <t>На объект</t>
  </si>
  <si>
    <t>факт за 1 день</t>
  </si>
  <si>
    <t>Сколько надо дней на выполнение</t>
  </si>
  <si>
    <t xml:space="preserve">по плану на сегодня </t>
  </si>
  <si>
    <t>% выполнения</t>
  </si>
  <si>
    <t>Septemb/ Сентяб</t>
  </si>
  <si>
    <t>Норма на день дана до 01.11.11</t>
  </si>
  <si>
    <t>Octoder/ Октябрь</t>
  </si>
  <si>
    <t>November/ Ноябрь</t>
  </si>
  <si>
    <t>ноябрь</t>
  </si>
  <si>
    <t>Осталось дней на зем работы</t>
  </si>
  <si>
    <t>декабрь</t>
  </si>
  <si>
    <t>December \ Декабрь</t>
  </si>
  <si>
    <t>Plan for 2012 year                                                План на 2012 год</t>
  </si>
  <si>
    <t xml:space="preserve">Plan for 2012                </t>
  </si>
  <si>
    <t>План на 2012 год</t>
  </si>
  <si>
    <t>Requirements for 2012.               Потребность на 2012г.</t>
  </si>
  <si>
    <t>Plan /План на 2012г.</t>
  </si>
  <si>
    <t>2012г.</t>
  </si>
  <si>
    <t>Выполнение от намеченого плана 2012</t>
  </si>
  <si>
    <t>Porous course asphalt mixture, Н-12см                           
Высокопористый а/б, Н-12см</t>
  </si>
  <si>
    <t>Natural gravel-sand mixture, Н-18см                               
Подстилающий слой, Н-18см</t>
  </si>
  <si>
    <t>Crushed stone,gravel-sand mixture, Н-15см                                                               Основание из ЩГПС, Н-15см</t>
  </si>
  <si>
    <t>высокопористый а/б, Н-12</t>
  </si>
  <si>
    <t>основание из ЩГПС, Н-15</t>
  </si>
  <si>
    <t>подстилающий слой, Н-18 см</t>
  </si>
  <si>
    <t>подстилающий слой, Н-18</t>
  </si>
  <si>
    <t>отставание дней</t>
  </si>
  <si>
    <t>февраль</t>
  </si>
  <si>
    <t xml:space="preserve"> до февраля</t>
  </si>
  <si>
    <t>дней в месяце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</si>
</sst>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#,##0.000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_-* #,##0.000000_р_._-;\-* #,##0.000000_р_._-;_-* &quot;-&quot;??_р_._-;_-@_-"/>
    <numFmt numFmtId="178" formatCode="_-* #,##0.0000000_р_._-;\-* #,##0.0000000_р_._-;_-* &quot;-&quot;??_р_._-;_-@_-"/>
    <numFmt numFmtId="179" formatCode="_-* #,##0.00000000_р_._-;\-* #,##0.00000000_р_._-;_-* &quot;-&quot;??_р_._-;_-@_-"/>
    <numFmt numFmtId="180" formatCode="_-* #,##0.000000000_р_._-;\-* #,##0.000000000_р_._-;_-* &quot;-&quot;??_р_._-;_-@_-"/>
    <numFmt numFmtId="181" formatCode="_-* #,##0.0000000000_р_._-;\-* #,##0.0000000000_р_._-;_-* &quot;-&quot;??_р_._-;_-@_-"/>
    <numFmt numFmtId="182" formatCode="_-* #,##0.00000000000_р_._-;\-* #,##0.00000000000_р_._-;_-* &quot;-&quot;??_р_._-;_-@_-"/>
    <numFmt numFmtId="183" formatCode="[$-FC19]d\ mmmm\ yyyy\ &quot;г.&quot;"/>
    <numFmt numFmtId="184" formatCode="#,##0.0000"/>
    <numFmt numFmtId="185" formatCode="#,##0.00000"/>
    <numFmt numFmtId="186" formatCode="#,##0.000000"/>
    <numFmt numFmtId="187" formatCode="_-* #,##0.000_р_._-;\-* #,##0.000_р_._-;_-* &quot;-&quot;???_р_._-;_-@_-"/>
    <numFmt numFmtId="188" formatCode="_-* #,##0.0_р_._-;\-* #,##0.0_р_._-;_-* &quot;-&quot;?_р_._-;_-@_-"/>
    <numFmt numFmtId="189" formatCode="#,##0;[Red]#,##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10"/>
      <name val="Arial Cyr"/>
      <family val="0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10"/>
      <name val="Arial Cyr"/>
      <family val="2"/>
    </font>
    <font>
      <sz val="12"/>
      <color indexed="62"/>
      <name val="Arial Cyr"/>
      <family val="2"/>
    </font>
    <font>
      <b/>
      <sz val="12"/>
      <color indexed="8"/>
      <name val="Times New Roman"/>
      <family val="1"/>
    </font>
    <font>
      <sz val="10"/>
      <color rgb="FFFF0000"/>
      <name val="Arial Cyr"/>
      <family val="0"/>
    </font>
    <font>
      <sz val="10"/>
      <color rgb="FFC00000"/>
      <name val="Arial Cyr"/>
      <family val="0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rgb="FFFF0000"/>
      <name val="Arial Cyr"/>
      <family val="0"/>
    </font>
    <font>
      <b/>
      <sz val="10"/>
      <color theme="1"/>
      <name val="Arial"/>
      <family val="2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6"/>
      <color rgb="FFFF0000"/>
      <name val="Arial Cyr"/>
      <family val="0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rgb="FFFF0000"/>
      <name val="Arial Cyr"/>
      <family val="2"/>
    </font>
    <font>
      <sz val="12"/>
      <color theme="3" tint="0.39998000860214233"/>
      <name val="Arial Cyr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1">
    <xf numFmtId="0" fontId="0" fillId="0" borderId="0" xfId="0" applyAlignment="1">
      <alignment/>
    </xf>
    <xf numFmtId="174" fontId="0" fillId="0" borderId="0" xfId="65" applyNumberFormat="1" applyFont="1" applyAlignment="1">
      <alignment/>
    </xf>
    <xf numFmtId="172" fontId="0" fillId="0" borderId="0" xfId="65" applyNumberFormat="1" applyFont="1" applyAlignment="1">
      <alignment/>
    </xf>
    <xf numFmtId="173" fontId="0" fillId="0" borderId="0" xfId="65" applyNumberFormat="1" applyFont="1" applyAlignment="1">
      <alignment/>
    </xf>
    <xf numFmtId="0" fontId="19" fillId="0" borderId="0" xfId="0" applyFont="1" applyAlignment="1">
      <alignment/>
    </xf>
    <xf numFmtId="174" fontId="19" fillId="0" borderId="0" xfId="65" applyNumberFormat="1" applyFont="1" applyAlignment="1">
      <alignment/>
    </xf>
    <xf numFmtId="172" fontId="19" fillId="0" borderId="0" xfId="65" applyNumberFormat="1" applyFont="1" applyAlignment="1">
      <alignment/>
    </xf>
    <xf numFmtId="173" fontId="19" fillId="0" borderId="0" xfId="65" applyNumberFormat="1" applyFont="1" applyAlignment="1">
      <alignment/>
    </xf>
    <xf numFmtId="0" fontId="18" fillId="0" borderId="10" xfId="0" applyFont="1" applyBorder="1" applyAlignment="1">
      <alignment horizontal="center" vertical="center"/>
    </xf>
    <xf numFmtId="174" fontId="18" fillId="0" borderId="10" xfId="65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172" fontId="18" fillId="0" borderId="10" xfId="65" applyNumberFormat="1" applyFont="1" applyFill="1" applyBorder="1" applyAlignment="1">
      <alignment horizontal="center" vertical="center"/>
    </xf>
    <xf numFmtId="172" fontId="18" fillId="25" borderId="10" xfId="65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 shrinkToFit="1"/>
    </xf>
    <xf numFmtId="1" fontId="0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center"/>
    </xf>
    <xf numFmtId="164" fontId="27" fillId="0" borderId="0" xfId="0" applyNumberFormat="1" applyFont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center" vertical="center"/>
    </xf>
    <xf numFmtId="172" fontId="27" fillId="0" borderId="0" xfId="67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/>
    </xf>
    <xf numFmtId="164" fontId="2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2" fontId="27" fillId="26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2" fontId="27" fillId="26" borderId="10" xfId="0" applyNumberFormat="1" applyFont="1" applyFill="1" applyBorder="1" applyAlignment="1">
      <alignment horizontal="center" vertical="center"/>
    </xf>
    <xf numFmtId="2" fontId="25" fillId="26" borderId="10" xfId="0" applyNumberFormat="1" applyFont="1" applyFill="1" applyBorder="1" applyAlignment="1">
      <alignment horizontal="center" vertical="center"/>
    </xf>
    <xf numFmtId="166" fontId="27" fillId="26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26" borderId="10" xfId="0" applyNumberFormat="1" applyFont="1" applyFill="1" applyBorder="1" applyAlignment="1">
      <alignment horizontal="center" vertical="center"/>
    </xf>
    <xf numFmtId="166" fontId="27" fillId="0" borderId="10" xfId="67" applyNumberFormat="1" applyFont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 wrapText="1"/>
    </xf>
    <xf numFmtId="164" fontId="24" fillId="0" borderId="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27" fillId="0" borderId="0" xfId="0" applyFont="1" applyBorder="1" applyAlignment="1">
      <alignment horizontal="left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righ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62" fillId="0" borderId="0" xfId="0" applyFont="1" applyAlignment="1">
      <alignment horizontal="right"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0" fillId="0" borderId="0" xfId="56">
      <alignment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wrapText="1"/>
      <protection/>
    </xf>
    <xf numFmtId="0" fontId="29" fillId="0" borderId="0" xfId="56" applyFont="1" applyFill="1">
      <alignment/>
      <protection/>
    </xf>
    <xf numFmtId="0" fontId="29" fillId="0" borderId="14" xfId="56" applyFont="1" applyFill="1" applyBorder="1" applyAlignment="1">
      <alignment horizontal="center" vertical="center" wrapText="1"/>
      <protection/>
    </xf>
    <xf numFmtId="0" fontId="29" fillId="0" borderId="10" xfId="56" applyFont="1" applyBorder="1" applyAlignment="1">
      <alignment horizontal="center" vertical="center"/>
      <protection/>
    </xf>
    <xf numFmtId="0" fontId="29" fillId="0" borderId="10" xfId="56" applyFont="1" applyBorder="1" applyAlignment="1">
      <alignment horizontal="center" vertical="center" wrapText="1"/>
      <protection/>
    </xf>
    <xf numFmtId="0" fontId="29" fillId="0" borderId="10" xfId="56" applyFont="1" applyBorder="1" applyAlignment="1">
      <alignment horizontal="center"/>
      <protection/>
    </xf>
    <xf numFmtId="0" fontId="29" fillId="0" borderId="10" xfId="56" applyFont="1" applyBorder="1" applyAlignment="1">
      <alignment horizontal="center" wrapText="1"/>
      <protection/>
    </xf>
    <xf numFmtId="0" fontId="28" fillId="0" borderId="10" xfId="56" applyFont="1" applyBorder="1" applyAlignment="1">
      <alignment horizontal="center" vertical="center"/>
      <protection/>
    </xf>
    <xf numFmtId="0" fontId="28" fillId="0" borderId="10" xfId="56" applyFont="1" applyBorder="1" applyAlignment="1">
      <alignment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3" fontId="28" fillId="0" borderId="10" xfId="56" applyNumberFormat="1" applyFont="1" applyBorder="1" applyAlignment="1">
      <alignment horizontal="center" vertical="center" wrapText="1"/>
      <protection/>
    </xf>
    <xf numFmtId="165" fontId="28" fillId="0" borderId="10" xfId="56" applyNumberFormat="1" applyFont="1" applyBorder="1" applyAlignment="1">
      <alignment horizontal="center" vertical="center" wrapText="1"/>
      <protection/>
    </xf>
    <xf numFmtId="0" fontId="28" fillId="0" borderId="10" xfId="56" applyFont="1" applyFill="1" applyBorder="1" applyAlignment="1">
      <alignment horizontal="center" vertical="center" wrapText="1"/>
      <protection/>
    </xf>
    <xf numFmtId="3" fontId="28" fillId="0" borderId="10" xfId="56" applyNumberFormat="1" applyFont="1" applyFill="1" applyBorder="1" applyAlignment="1">
      <alignment horizontal="center" vertical="center" wrapText="1"/>
      <protection/>
    </xf>
    <xf numFmtId="165" fontId="28" fillId="0" borderId="10" xfId="56" applyNumberFormat="1" applyFont="1" applyFill="1" applyBorder="1" applyAlignment="1">
      <alignment horizontal="center" vertical="center" wrapText="1"/>
      <protection/>
    </xf>
    <xf numFmtId="3" fontId="28" fillId="0" borderId="10" xfId="56" applyNumberFormat="1" applyFont="1" applyBorder="1" applyAlignment="1">
      <alignment horizontal="center" vertical="center"/>
      <protection/>
    </xf>
    <xf numFmtId="4" fontId="28" fillId="0" borderId="10" xfId="56" applyNumberFormat="1" applyFont="1" applyBorder="1" applyAlignment="1">
      <alignment horizontal="center" vertical="center"/>
      <protection/>
    </xf>
    <xf numFmtId="3" fontId="28" fillId="0" borderId="15" xfId="56" applyNumberFormat="1" applyFont="1" applyBorder="1" applyAlignment="1">
      <alignment horizontal="center" vertical="center" wrapText="1"/>
      <protection/>
    </xf>
    <xf numFmtId="0" fontId="28" fillId="0" borderId="10" xfId="56" applyFont="1" applyFill="1" applyBorder="1" applyAlignment="1">
      <alignment wrapText="1"/>
      <protection/>
    </xf>
    <xf numFmtId="171" fontId="28" fillId="0" borderId="10" xfId="56" applyNumberFormat="1" applyFont="1" applyBorder="1" applyAlignment="1">
      <alignment horizontal="center" vertical="center"/>
      <protection/>
    </xf>
    <xf numFmtId="3" fontId="28" fillId="0" borderId="10" xfId="56" applyNumberFormat="1" applyFont="1" applyFill="1" applyBorder="1" applyAlignment="1">
      <alignment horizontal="left" vertical="center" wrapText="1" indent="1"/>
      <protection/>
    </xf>
    <xf numFmtId="4" fontId="28" fillId="27" borderId="10" xfId="56" applyNumberFormat="1" applyFont="1" applyFill="1" applyBorder="1" applyAlignment="1">
      <alignment horizontal="center" vertical="center" wrapText="1"/>
      <protection/>
    </xf>
    <xf numFmtId="4" fontId="28" fillId="0" borderId="10" xfId="56" applyNumberFormat="1" applyFont="1" applyFill="1" applyBorder="1" applyAlignment="1">
      <alignment horizontal="center" vertical="center" wrapText="1"/>
      <protection/>
    </xf>
    <xf numFmtId="3" fontId="28" fillId="0" borderId="10" xfId="56" applyNumberFormat="1" applyFont="1" applyBorder="1" applyAlignment="1">
      <alignment horizontal="center"/>
      <protection/>
    </xf>
    <xf numFmtId="3" fontId="28" fillId="0" borderId="15" xfId="56" applyNumberFormat="1" applyFont="1" applyFill="1" applyBorder="1" applyAlignment="1">
      <alignment horizontal="center" vertical="center" wrapText="1"/>
      <protection/>
    </xf>
    <xf numFmtId="0" fontId="30" fillId="0" borderId="10" xfId="56" applyFont="1" applyBorder="1" applyAlignment="1">
      <alignment wrapText="1"/>
      <protection/>
    </xf>
    <xf numFmtId="3" fontId="29" fillId="0" borderId="10" xfId="56" applyNumberFormat="1" applyFont="1" applyBorder="1" applyAlignment="1">
      <alignment horizontal="center" vertical="center" wrapText="1"/>
      <protection/>
    </xf>
    <xf numFmtId="4" fontId="28" fillId="0" borderId="10" xfId="56" applyNumberFormat="1" applyFont="1" applyBorder="1" applyAlignment="1">
      <alignment horizontal="center" vertical="center" wrapText="1"/>
      <protection/>
    </xf>
    <xf numFmtId="4" fontId="29" fillId="0" borderId="10" xfId="56" applyNumberFormat="1" applyFont="1" applyBorder="1" applyAlignment="1">
      <alignment horizontal="center" vertical="center" wrapText="1"/>
      <protection/>
    </xf>
    <xf numFmtId="171" fontId="29" fillId="0" borderId="11" xfId="56" applyNumberFormat="1" applyFont="1" applyBorder="1" applyAlignment="1">
      <alignment horizontal="center" vertical="center"/>
      <protection/>
    </xf>
    <xf numFmtId="166" fontId="29" fillId="0" borderId="10" xfId="56" applyNumberFormat="1" applyFont="1" applyFill="1" applyBorder="1" applyAlignment="1">
      <alignment horizontal="center"/>
      <protection/>
    </xf>
    <xf numFmtId="165" fontId="28" fillId="0" borderId="0" xfId="56" applyNumberFormat="1" applyFont="1">
      <alignment/>
      <protection/>
    </xf>
    <xf numFmtId="3" fontId="28" fillId="0" borderId="0" xfId="56" applyNumberFormat="1" applyFont="1">
      <alignment/>
      <protection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25" fillId="0" borderId="0" xfId="56" applyFont="1" applyAlignment="1">
      <alignment horizontal="right" wrapText="1"/>
      <protection/>
    </xf>
    <xf numFmtId="0" fontId="18" fillId="0" borderId="0" xfId="0" applyFont="1" applyAlignment="1">
      <alignment horizontal="right" vertical="center" wrapText="1"/>
    </xf>
    <xf numFmtId="166" fontId="28" fillId="0" borderId="10" xfId="56" applyNumberFormat="1" applyFont="1" applyFill="1" applyBorder="1" applyAlignment="1">
      <alignment horizontal="center" vertical="center" wrapText="1"/>
      <protection/>
    </xf>
    <xf numFmtId="164" fontId="28" fillId="0" borderId="10" xfId="56" applyNumberFormat="1" applyFont="1" applyFill="1" applyBorder="1" applyAlignment="1">
      <alignment horizontal="center" vertical="center" wrapText="1"/>
      <protection/>
    </xf>
    <xf numFmtId="0" fontId="29" fillId="0" borderId="0" xfId="56" applyFont="1" applyAlignment="1">
      <alignment horizontal="left"/>
      <protection/>
    </xf>
    <xf numFmtId="0" fontId="29" fillId="0" borderId="0" xfId="56" applyFont="1" applyBorder="1" applyAlignment="1">
      <alignment horizontal="center"/>
      <protection/>
    </xf>
    <xf numFmtId="0" fontId="29" fillId="0" borderId="0" xfId="56" applyFont="1" applyBorder="1" applyAlignment="1">
      <alignment/>
      <protection/>
    </xf>
    <xf numFmtId="0" fontId="29" fillId="0" borderId="10" xfId="56" applyFont="1" applyFill="1" applyBorder="1" applyAlignment="1">
      <alignment horizontal="center" vertical="center" wrapText="1"/>
      <protection/>
    </xf>
    <xf numFmtId="0" fontId="63" fillId="0" borderId="10" xfId="56" applyFont="1" applyBorder="1" applyAlignment="1">
      <alignment wrapText="1"/>
      <protection/>
    </xf>
    <xf numFmtId="0" fontId="32" fillId="0" borderId="10" xfId="56" applyFont="1" applyFill="1" applyBorder="1" applyAlignment="1">
      <alignment horizontal="center" vertical="center" wrapText="1"/>
      <protection/>
    </xf>
    <xf numFmtId="3" fontId="28" fillId="28" borderId="10" xfId="56" applyNumberFormat="1" applyFont="1" applyFill="1" applyBorder="1" applyAlignment="1">
      <alignment horizontal="center" vertical="center" wrapText="1"/>
      <protection/>
    </xf>
    <xf numFmtId="164" fontId="28" fillId="28" borderId="10" xfId="56" applyNumberFormat="1" applyFont="1" applyFill="1" applyBorder="1" applyAlignment="1">
      <alignment horizontal="center" vertical="center" wrapText="1"/>
      <protection/>
    </xf>
    <xf numFmtId="0" fontId="64" fillId="0" borderId="0" xfId="56" applyFont="1" applyAlignment="1">
      <alignment horizontal="center" wrapText="1"/>
      <protection/>
    </xf>
    <xf numFmtId="0" fontId="57" fillId="0" borderId="0" xfId="56" applyFont="1" applyAlignment="1">
      <alignment horizontal="center"/>
      <protection/>
    </xf>
    <xf numFmtId="17" fontId="57" fillId="0" borderId="0" xfId="56" applyNumberFormat="1" applyFont="1" applyAlignment="1">
      <alignment horizontal="center"/>
      <protection/>
    </xf>
    <xf numFmtId="0" fontId="57" fillId="0" borderId="0" xfId="56" applyNumberFormat="1" applyFont="1" applyAlignment="1">
      <alignment horizontal="center"/>
      <protection/>
    </xf>
    <xf numFmtId="0" fontId="33" fillId="0" borderId="10" xfId="56" applyFont="1" applyFill="1" applyBorder="1" applyAlignment="1">
      <alignment vertical="center" wrapText="1"/>
      <protection/>
    </xf>
    <xf numFmtId="3" fontId="28" fillId="29" borderId="10" xfId="56" applyNumberFormat="1" applyFont="1" applyFill="1" applyBorder="1" applyAlignment="1">
      <alignment horizontal="center" vertical="center" wrapText="1"/>
      <protection/>
    </xf>
    <xf numFmtId="0" fontId="64" fillId="0" borderId="0" xfId="56" applyFont="1" applyAlignment="1">
      <alignment horizontal="center"/>
      <protection/>
    </xf>
    <xf numFmtId="0" fontId="28" fillId="29" borderId="10" xfId="56" applyFont="1" applyFill="1" applyBorder="1" applyAlignment="1">
      <alignment vertical="center" wrapText="1"/>
      <protection/>
    </xf>
    <xf numFmtId="0" fontId="57" fillId="0" borderId="0" xfId="56" applyFont="1">
      <alignment/>
      <protection/>
    </xf>
    <xf numFmtId="0" fontId="29" fillId="28" borderId="10" xfId="56" applyFont="1" applyFill="1" applyBorder="1" applyAlignment="1">
      <alignment vertical="center" wrapText="1"/>
      <protection/>
    </xf>
    <xf numFmtId="0" fontId="34" fillId="28" borderId="10" xfId="56" applyFont="1" applyFill="1" applyBorder="1" applyAlignment="1">
      <alignment vertical="center" wrapText="1"/>
      <protection/>
    </xf>
    <xf numFmtId="164" fontId="28" fillId="29" borderId="10" xfId="56" applyNumberFormat="1" applyFont="1" applyFill="1" applyBorder="1" applyAlignment="1">
      <alignment horizontal="center" vertical="center" wrapText="1"/>
      <protection/>
    </xf>
    <xf numFmtId="1" fontId="28" fillId="28" borderId="10" xfId="56" applyNumberFormat="1" applyFont="1" applyFill="1" applyBorder="1" applyAlignment="1">
      <alignment horizontal="center" vertical="center" wrapText="1"/>
      <protection/>
    </xf>
    <xf numFmtId="0" fontId="28" fillId="0" borderId="0" xfId="56" applyFont="1" applyFill="1">
      <alignment/>
      <protection/>
    </xf>
    <xf numFmtId="0" fontId="29" fillId="0" borderId="0" xfId="56" applyFont="1">
      <alignment/>
      <protection/>
    </xf>
    <xf numFmtId="0" fontId="28" fillId="30" borderId="0" xfId="56" applyFont="1" applyFill="1">
      <alignment/>
      <protection/>
    </xf>
    <xf numFmtId="0" fontId="29" fillId="0" borderId="0" xfId="0" applyFont="1" applyAlignment="1">
      <alignment horizontal="right" vertical="center" wrapText="1"/>
    </xf>
    <xf numFmtId="165" fontId="28" fillId="28" borderId="10" xfId="56" applyNumberFormat="1" applyFont="1" applyFill="1" applyBorder="1" applyAlignment="1">
      <alignment horizontal="center" vertical="center" wrapText="1"/>
      <protection/>
    </xf>
    <xf numFmtId="171" fontId="28" fillId="28" borderId="10" xfId="56" applyNumberFormat="1" applyFont="1" applyFill="1" applyBorder="1" applyAlignment="1">
      <alignment horizontal="center" vertical="center" wrapText="1"/>
      <protection/>
    </xf>
    <xf numFmtId="0" fontId="28" fillId="0" borderId="10" xfId="56" applyFont="1" applyFill="1" applyBorder="1">
      <alignment/>
      <protection/>
    </xf>
    <xf numFmtId="0" fontId="0" fillId="0" borderId="0" xfId="56" applyFont="1">
      <alignment/>
      <protection/>
    </xf>
    <xf numFmtId="14" fontId="28" fillId="0" borderId="0" xfId="56" applyNumberFormat="1" applyFont="1" applyFill="1" applyAlignment="1">
      <alignment horizontal="left" vertical="center"/>
      <protection/>
    </xf>
    <xf numFmtId="0" fontId="33" fillId="0" borderId="0" xfId="56" applyFont="1" applyFill="1">
      <alignment/>
      <protection/>
    </xf>
    <xf numFmtId="0" fontId="33" fillId="0" borderId="10" xfId="56" applyFont="1" applyFill="1" applyBorder="1" applyAlignment="1">
      <alignment horizontal="center" vertical="center" wrapText="1"/>
      <protection/>
    </xf>
    <xf numFmtId="0" fontId="33" fillId="31" borderId="10" xfId="56" applyFont="1" applyFill="1" applyBorder="1" applyAlignment="1">
      <alignment horizontal="center" vertical="center" wrapText="1"/>
      <protection/>
    </xf>
    <xf numFmtId="0" fontId="28" fillId="31" borderId="0" xfId="56" applyFont="1" applyFill="1">
      <alignment/>
      <protection/>
    </xf>
    <xf numFmtId="1" fontId="28" fillId="31" borderId="10" xfId="56" applyNumberFormat="1" applyFont="1" applyFill="1" applyBorder="1" applyAlignment="1">
      <alignment horizontal="center" vertical="center"/>
      <protection/>
    </xf>
    <xf numFmtId="1" fontId="33" fillId="31" borderId="10" xfId="56" applyNumberFormat="1" applyFont="1" applyFill="1" applyBorder="1" applyAlignment="1">
      <alignment horizontal="center" vertical="center"/>
      <protection/>
    </xf>
    <xf numFmtId="0" fontId="33" fillId="31" borderId="10" xfId="56" applyFont="1" applyFill="1" applyBorder="1" applyAlignment="1">
      <alignment vertical="center" wrapText="1"/>
      <protection/>
    </xf>
    <xf numFmtId="0" fontId="28" fillId="31" borderId="10" xfId="56" applyFont="1" applyFill="1" applyBorder="1" applyAlignment="1">
      <alignment vertical="center" wrapText="1"/>
      <protection/>
    </xf>
    <xf numFmtId="0" fontId="28" fillId="31" borderId="11" xfId="56" applyFont="1" applyFill="1" applyBorder="1" applyAlignment="1">
      <alignment wrapText="1"/>
      <protection/>
    </xf>
    <xf numFmtId="0" fontId="28" fillId="31" borderId="0" xfId="56" applyFont="1" applyFill="1" applyAlignment="1">
      <alignment wrapText="1"/>
      <protection/>
    </xf>
    <xf numFmtId="1" fontId="28" fillId="32" borderId="10" xfId="56" applyNumberFormat="1" applyFont="1" applyFill="1" applyBorder="1" applyAlignment="1">
      <alignment horizontal="center" vertical="center"/>
      <protection/>
    </xf>
    <xf numFmtId="1" fontId="33" fillId="0" borderId="10" xfId="56" applyNumberFormat="1" applyFont="1" applyFill="1" applyBorder="1" applyAlignment="1">
      <alignment horizontal="center" vertical="center"/>
      <protection/>
    </xf>
    <xf numFmtId="0" fontId="28" fillId="31" borderId="10" xfId="56" applyFont="1" applyFill="1" applyBorder="1" applyAlignment="1">
      <alignment horizontal="center" vertical="center" wrapText="1"/>
      <protection/>
    </xf>
    <xf numFmtId="0" fontId="28" fillId="31" borderId="10" xfId="56" applyFont="1" applyFill="1" applyBorder="1" applyAlignment="1">
      <alignment wrapText="1"/>
      <protection/>
    </xf>
    <xf numFmtId="0" fontId="35" fillId="0" borderId="0" xfId="56" applyFont="1">
      <alignment/>
      <protection/>
    </xf>
    <xf numFmtId="1" fontId="28" fillId="0" borderId="10" xfId="56" applyNumberFormat="1" applyFont="1" applyFill="1" applyBorder="1" applyAlignment="1">
      <alignment horizontal="center" vertical="center"/>
      <protection/>
    </xf>
    <xf numFmtId="0" fontId="33" fillId="0" borderId="10" xfId="56" applyFont="1" applyFill="1" applyBorder="1" applyAlignment="1">
      <alignment horizontal="center" vertical="center"/>
      <protection/>
    </xf>
    <xf numFmtId="1" fontId="33" fillId="0" borderId="10" xfId="56" applyNumberFormat="1" applyFont="1" applyFill="1" applyBorder="1" applyAlignment="1">
      <alignment horizontal="center" vertical="center" wrapText="1"/>
      <protection/>
    </xf>
    <xf numFmtId="1" fontId="33" fillId="0" borderId="0" xfId="56" applyNumberFormat="1" applyFont="1" applyFill="1">
      <alignment/>
      <protection/>
    </xf>
    <xf numFmtId="0" fontId="28" fillId="0" borderId="0" xfId="56" applyFont="1" applyBorder="1" applyAlignment="1">
      <alignment/>
      <protection/>
    </xf>
    <xf numFmtId="0" fontId="36" fillId="0" borderId="0" xfId="56" applyFont="1" applyFill="1">
      <alignment/>
      <protection/>
    </xf>
    <xf numFmtId="1" fontId="36" fillId="0" borderId="0" xfId="56" applyNumberFormat="1" applyFont="1" applyFill="1">
      <alignment/>
      <protection/>
    </xf>
    <xf numFmtId="0" fontId="0" fillId="0" borderId="0" xfId="56" applyAlignment="1">
      <alignment horizontal="center"/>
      <protection/>
    </xf>
    <xf numFmtId="49" fontId="33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56" applyNumberFormat="1">
      <alignment/>
      <protection/>
    </xf>
    <xf numFmtId="0" fontId="28" fillId="0" borderId="0" xfId="56" applyFont="1" applyBorder="1">
      <alignment/>
      <protection/>
    </xf>
    <xf numFmtId="0" fontId="28" fillId="33" borderId="10" xfId="56" applyFont="1" applyFill="1" applyBorder="1" applyAlignment="1">
      <alignment horizontal="center" vertical="center" wrapText="1"/>
      <protection/>
    </xf>
    <xf numFmtId="0" fontId="28" fillId="33" borderId="10" xfId="56" applyFont="1" applyFill="1" applyBorder="1" applyAlignment="1">
      <alignment horizontal="left" vertical="center" wrapText="1"/>
      <protection/>
    </xf>
    <xf numFmtId="0" fontId="28" fillId="30" borderId="10" xfId="56" applyFont="1" applyFill="1" applyBorder="1" applyAlignment="1">
      <alignment horizontal="center" vertical="center" wrapText="1"/>
      <protection/>
    </xf>
    <xf numFmtId="0" fontId="28" fillId="0" borderId="10" xfId="56" applyFont="1" applyBorder="1" applyAlignment="1">
      <alignment vertical="center"/>
      <protection/>
    </xf>
    <xf numFmtId="0" fontId="28" fillId="0" borderId="10" xfId="56" applyFont="1" applyFill="1" applyBorder="1" applyAlignment="1">
      <alignment horizontal="center" vertical="center"/>
      <protection/>
    </xf>
    <xf numFmtId="0" fontId="28" fillId="0" borderId="10" xfId="56" applyFont="1" applyBorder="1">
      <alignment/>
      <protection/>
    </xf>
    <xf numFmtId="0" fontId="28" fillId="33" borderId="10" xfId="56" applyFont="1" applyFill="1" applyBorder="1" applyAlignment="1">
      <alignment horizontal="center" vertical="center"/>
      <protection/>
    </xf>
    <xf numFmtId="0" fontId="28" fillId="33" borderId="10" xfId="56" applyFont="1" applyFill="1" applyBorder="1" applyAlignment="1">
      <alignment vertical="center" wrapText="1"/>
      <protection/>
    </xf>
    <xf numFmtId="1" fontId="28" fillId="33" borderId="10" xfId="56" applyNumberFormat="1" applyFont="1" applyFill="1" applyBorder="1" applyAlignment="1">
      <alignment horizontal="center" vertical="center"/>
      <protection/>
    </xf>
    <xf numFmtId="0" fontId="19" fillId="0" borderId="0" xfId="56" applyFont="1">
      <alignment/>
      <protection/>
    </xf>
    <xf numFmtId="1" fontId="28" fillId="0" borderId="10" xfId="56" applyNumberFormat="1" applyFont="1" applyBorder="1" applyAlignment="1">
      <alignment horizontal="center" vertical="center"/>
      <protection/>
    </xf>
    <xf numFmtId="9" fontId="28" fillId="0" borderId="0" xfId="56" applyNumberFormat="1" applyFont="1">
      <alignment/>
      <protection/>
    </xf>
    <xf numFmtId="9" fontId="28" fillId="0" borderId="0" xfId="56" applyNumberFormat="1" applyFont="1" applyFill="1">
      <alignment/>
      <protection/>
    </xf>
    <xf numFmtId="0" fontId="29" fillId="0" borderId="0" xfId="56" applyFont="1" applyFill="1" applyBorder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0" fillId="0" borderId="0" xfId="56" applyNumberFormat="1" applyFont="1" applyAlignment="1">
      <alignment horizontal="center"/>
      <protection/>
    </xf>
    <xf numFmtId="0" fontId="28" fillId="0" borderId="10" xfId="56" applyFont="1" applyFill="1" applyBorder="1" applyAlignment="1">
      <alignment vertical="center" wrapText="1"/>
      <protection/>
    </xf>
    <xf numFmtId="0" fontId="0" fillId="0" borderId="0" xfId="56" applyFont="1" applyAlignment="1">
      <alignment horizontal="right"/>
      <protection/>
    </xf>
    <xf numFmtId="0" fontId="21" fillId="0" borderId="0" xfId="56" applyFont="1">
      <alignment/>
      <protection/>
    </xf>
    <xf numFmtId="0" fontId="25" fillId="0" borderId="0" xfId="56" applyFont="1" applyAlignment="1">
      <alignment horizontal="center" vertical="center"/>
      <protection/>
    </xf>
    <xf numFmtId="0" fontId="0" fillId="0" borderId="0" xfId="56" applyFont="1" applyAlignment="1">
      <alignment vertical="center"/>
      <protection/>
    </xf>
    <xf numFmtId="0" fontId="25" fillId="0" borderId="0" xfId="56" applyFont="1" applyAlignment="1">
      <alignment horizontal="center" vertical="center" wrapText="1"/>
      <protection/>
    </xf>
    <xf numFmtId="0" fontId="0" fillId="0" borderId="0" xfId="56" applyFont="1" applyAlignment="1">
      <alignment wrapText="1"/>
      <protection/>
    </xf>
    <xf numFmtId="4" fontId="28" fillId="0" borderId="10" xfId="56" applyNumberFormat="1" applyFont="1" applyFill="1" applyBorder="1" applyAlignment="1">
      <alignment horizontal="center" vertical="center"/>
      <protection/>
    </xf>
    <xf numFmtId="0" fontId="29" fillId="0" borderId="11" xfId="56" applyFont="1" applyFill="1" applyBorder="1" applyAlignment="1">
      <alignment horizontal="center" vertical="center" wrapText="1"/>
      <protection/>
    </xf>
    <xf numFmtId="0" fontId="29" fillId="0" borderId="16" xfId="56" applyFont="1" applyFill="1" applyBorder="1" applyAlignment="1">
      <alignment horizontal="center" vertical="center" wrapText="1"/>
      <protection/>
    </xf>
    <xf numFmtId="0" fontId="28" fillId="0" borderId="0" xfId="56" applyFont="1" applyBorder="1" applyAlignment="1">
      <alignment horizontal="right"/>
      <protection/>
    </xf>
    <xf numFmtId="14" fontId="29" fillId="0" borderId="0" xfId="56" applyNumberFormat="1" applyFont="1" applyBorder="1" applyAlignment="1">
      <alignment horizontal="left"/>
      <protection/>
    </xf>
    <xf numFmtId="14" fontId="0" fillId="0" borderId="0" xfId="56" applyNumberFormat="1" applyFont="1" applyAlignment="1">
      <alignment horizontal="left"/>
      <protection/>
    </xf>
    <xf numFmtId="14" fontId="25" fillId="0" borderId="0" xfId="56" applyNumberFormat="1" applyFont="1" applyAlignment="1">
      <alignment horizontal="left" wrapText="1"/>
      <protection/>
    </xf>
    <xf numFmtId="14" fontId="20" fillId="0" borderId="0" xfId="0" applyNumberFormat="1" applyFont="1" applyAlignment="1">
      <alignment horizontal="center" vertical="center" wrapText="1"/>
    </xf>
    <xf numFmtId="14" fontId="20" fillId="0" borderId="0" xfId="0" applyNumberFormat="1" applyFont="1" applyAlignment="1">
      <alignment horizontal="left" vertical="center" wrapText="1"/>
    </xf>
    <xf numFmtId="0" fontId="29" fillId="0" borderId="17" xfId="56" applyFont="1" applyFill="1" applyBorder="1" applyAlignment="1">
      <alignment horizontal="center" vertical="center" wrapText="1"/>
      <protection/>
    </xf>
    <xf numFmtId="0" fontId="0" fillId="0" borderId="0" xfId="56" applyAlignment="1">
      <alignment wrapText="1"/>
      <protection/>
    </xf>
    <xf numFmtId="0" fontId="65" fillId="0" borderId="0" xfId="56" applyFont="1" applyAlignment="1">
      <alignment horizontal="center" vertical="center"/>
      <protection/>
    </xf>
    <xf numFmtId="1" fontId="29" fillId="31" borderId="10" xfId="56" applyNumberFormat="1" applyFont="1" applyFill="1" applyBorder="1" applyAlignment="1">
      <alignment horizontal="center" vertical="center"/>
      <protection/>
    </xf>
    <xf numFmtId="1" fontId="29" fillId="0" borderId="10" xfId="56" applyNumberFormat="1" applyFont="1" applyFill="1" applyBorder="1" applyAlignment="1">
      <alignment horizontal="center" vertical="center"/>
      <protection/>
    </xf>
    <xf numFmtId="1" fontId="39" fillId="0" borderId="10" xfId="56" applyNumberFormat="1" applyFont="1" applyFill="1" applyBorder="1" applyAlignment="1">
      <alignment horizontal="center" vertical="center" wrapText="1"/>
      <protection/>
    </xf>
    <xf numFmtId="2" fontId="22" fillId="0" borderId="10" xfId="0" applyNumberFormat="1" applyFont="1" applyFill="1" applyBorder="1" applyAlignment="1">
      <alignment horizontal="center" vertical="center" wrapText="1"/>
    </xf>
    <xf numFmtId="2" fontId="28" fillId="0" borderId="10" xfId="56" applyNumberFormat="1" applyFont="1" applyFill="1" applyBorder="1" applyAlignment="1">
      <alignment horizontal="center" vertical="center" wrapText="1"/>
      <protection/>
    </xf>
    <xf numFmtId="2" fontId="28" fillId="0" borderId="10" xfId="56" applyNumberFormat="1" applyFont="1" applyFill="1" applyBorder="1" applyAlignment="1">
      <alignment horizontal="center" vertical="center"/>
      <protection/>
    </xf>
    <xf numFmtId="2" fontId="0" fillId="0" borderId="10" xfId="0" applyNumberFormat="1" applyFont="1" applyBorder="1" applyAlignment="1">
      <alignment horizontal="center" vertical="center" wrapText="1" shrinkToFit="1"/>
    </xf>
    <xf numFmtId="166" fontId="22" fillId="0" borderId="10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 wrapText="1"/>
    </xf>
    <xf numFmtId="4" fontId="28" fillId="28" borderId="10" xfId="56" applyNumberFormat="1" applyFont="1" applyFill="1" applyBorder="1" applyAlignment="1">
      <alignment horizontal="center" vertical="center" wrapText="1"/>
      <protection/>
    </xf>
    <xf numFmtId="4" fontId="28" fillId="29" borderId="10" xfId="56" applyNumberFormat="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174" fontId="22" fillId="31" borderId="10" xfId="65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Border="1" applyAlignment="1">
      <alignment horizontal="center" vertical="center" wrapText="1"/>
    </xf>
    <xf numFmtId="0" fontId="66" fillId="25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0" borderId="19" xfId="0" applyBorder="1" applyAlignment="1">
      <alignment vertical="center"/>
    </xf>
    <xf numFmtId="0" fontId="67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2" fontId="0" fillId="25" borderId="19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2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vertical="center"/>
    </xf>
    <xf numFmtId="0" fontId="6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 wrapText="1"/>
    </xf>
    <xf numFmtId="0" fontId="68" fillId="0" borderId="0" xfId="0" applyFont="1" applyAlignment="1">
      <alignment/>
    </xf>
    <xf numFmtId="9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69" fillId="0" borderId="0" xfId="0" applyFont="1" applyAlignment="1">
      <alignment/>
    </xf>
    <xf numFmtId="2" fontId="0" fillId="0" borderId="21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/>
    </xf>
    <xf numFmtId="0" fontId="19" fillId="0" borderId="10" xfId="56" applyFont="1" applyBorder="1" applyAlignment="1">
      <alignment horizontal="center" vertical="center"/>
      <protection/>
    </xf>
    <xf numFmtId="1" fontId="19" fillId="0" borderId="10" xfId="56" applyNumberFormat="1" applyFont="1" applyBorder="1">
      <alignment/>
      <protection/>
    </xf>
    <xf numFmtId="1" fontId="18" fillId="0" borderId="10" xfId="56" applyNumberFormat="1" applyFont="1" applyBorder="1" applyAlignment="1">
      <alignment horizontal="center"/>
      <protection/>
    </xf>
    <xf numFmtId="0" fontId="33" fillId="0" borderId="15" xfId="56" applyFont="1" applyFill="1" applyBorder="1" applyAlignment="1">
      <alignment horizontal="center" vertical="center" textRotation="90" wrapText="1"/>
      <protection/>
    </xf>
    <xf numFmtId="0" fontId="33" fillId="0" borderId="10" xfId="56" applyFont="1" applyFill="1" applyBorder="1" applyAlignment="1">
      <alignment horizontal="center" vertical="center" textRotation="90" wrapText="1"/>
      <protection/>
    </xf>
    <xf numFmtId="1" fontId="33" fillId="31" borderId="15" xfId="56" applyNumberFormat="1" applyFont="1" applyFill="1" applyBorder="1" applyAlignment="1">
      <alignment horizontal="center" vertical="center"/>
      <protection/>
    </xf>
    <xf numFmtId="1" fontId="39" fillId="31" borderId="15" xfId="56" applyNumberFormat="1" applyFont="1" applyFill="1" applyBorder="1" applyAlignment="1">
      <alignment horizontal="center" vertical="center"/>
      <protection/>
    </xf>
    <xf numFmtId="1" fontId="33" fillId="0" borderId="15" xfId="56" applyNumberFormat="1" applyFont="1" applyFill="1" applyBorder="1" applyAlignment="1">
      <alignment horizontal="center" vertical="center"/>
      <protection/>
    </xf>
    <xf numFmtId="1" fontId="29" fillId="31" borderId="15" xfId="56" applyNumberFormat="1" applyFont="1" applyFill="1" applyBorder="1" applyAlignment="1">
      <alignment horizontal="center" vertical="center"/>
      <protection/>
    </xf>
    <xf numFmtId="1" fontId="28" fillId="31" borderId="15" xfId="56" applyNumberFormat="1" applyFont="1" applyFill="1" applyBorder="1" applyAlignment="1">
      <alignment horizontal="center" vertical="center"/>
      <protection/>
    </xf>
    <xf numFmtId="0" fontId="33" fillId="31" borderId="15" xfId="56" applyFont="1" applyFill="1" applyBorder="1" applyAlignment="1">
      <alignment horizontal="center" vertical="center"/>
      <protection/>
    </xf>
    <xf numFmtId="1" fontId="29" fillId="0" borderId="15" xfId="56" applyNumberFormat="1" applyFont="1" applyFill="1" applyBorder="1" applyAlignment="1">
      <alignment horizontal="center" vertical="center"/>
      <protection/>
    </xf>
    <xf numFmtId="1" fontId="33" fillId="0" borderId="15" xfId="56" applyNumberFormat="1" applyFont="1" applyFill="1" applyBorder="1" applyAlignment="1">
      <alignment horizontal="center" vertical="center" wrapText="1"/>
      <protection/>
    </xf>
    <xf numFmtId="1" fontId="39" fillId="0" borderId="15" xfId="56" applyNumberFormat="1" applyFont="1" applyFill="1" applyBorder="1" applyAlignment="1">
      <alignment horizontal="center" vertical="center" wrapText="1"/>
      <protection/>
    </xf>
    <xf numFmtId="0" fontId="0" fillId="0" borderId="0" xfId="56" applyBorder="1">
      <alignment/>
      <protection/>
    </xf>
    <xf numFmtId="0" fontId="0" fillId="0" borderId="22" xfId="56" applyBorder="1">
      <alignment/>
      <protection/>
    </xf>
    <xf numFmtId="0" fontId="0" fillId="34" borderId="18" xfId="0" applyFill="1" applyBorder="1" applyAlignment="1">
      <alignment/>
    </xf>
    <xf numFmtId="0" fontId="0" fillId="34" borderId="0" xfId="0" applyFill="1" applyAlignment="1">
      <alignment/>
    </xf>
    <xf numFmtId="164" fontId="0" fillId="34" borderId="19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1" fontId="0" fillId="34" borderId="19" xfId="0" applyNumberFormat="1" applyFill="1" applyBorder="1" applyAlignment="1">
      <alignment horizontal="center" vertical="center"/>
    </xf>
    <xf numFmtId="2" fontId="0" fillId="34" borderId="19" xfId="0" applyNumberFormat="1" applyFill="1" applyBorder="1" applyAlignment="1">
      <alignment horizontal="center" vertical="center"/>
    </xf>
    <xf numFmtId="2" fontId="0" fillId="34" borderId="20" xfId="0" applyNumberForma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" fontId="0" fillId="34" borderId="20" xfId="0" applyNumberForma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 wrapText="1"/>
    </xf>
    <xf numFmtId="0" fontId="71" fillId="0" borderId="0" xfId="0" applyFont="1" applyAlignment="1">
      <alignment vertical="center"/>
    </xf>
    <xf numFmtId="14" fontId="71" fillId="0" borderId="0" xfId="0" applyNumberFormat="1" applyFont="1" applyAlignment="1">
      <alignment vertical="center"/>
    </xf>
    <xf numFmtId="0" fontId="66" fillId="0" borderId="0" xfId="0" applyFont="1" applyFill="1" applyBorder="1" applyAlignment="1">
      <alignment horizontal="center" vertical="center" wrapText="1"/>
    </xf>
    <xf numFmtId="0" fontId="0" fillId="0" borderId="15" xfId="56" applyBorder="1" applyAlignment="1">
      <alignment horizontal="center" vertical="center" wrapText="1"/>
      <protection/>
    </xf>
    <xf numFmtId="1" fontId="0" fillId="0" borderId="15" xfId="56" applyNumberFormat="1" applyBorder="1" applyAlignment="1">
      <alignment horizontal="center" vertical="center"/>
      <protection/>
    </xf>
    <xf numFmtId="1" fontId="28" fillId="33" borderId="15" xfId="56" applyNumberFormat="1" applyFont="1" applyFill="1" applyBorder="1" applyAlignment="1">
      <alignment horizontal="center" vertical="center"/>
      <protection/>
    </xf>
    <xf numFmtId="1" fontId="24" fillId="0" borderId="15" xfId="56" applyNumberFormat="1" applyFont="1" applyBorder="1" applyAlignment="1">
      <alignment horizontal="center"/>
      <protection/>
    </xf>
    <xf numFmtId="0" fontId="0" fillId="0" borderId="0" xfId="56" applyBorder="1" applyAlignment="1">
      <alignment horizontal="center" vertical="center"/>
      <protection/>
    </xf>
    <xf numFmtId="0" fontId="0" fillId="0" borderId="0" xfId="56" applyBorder="1" applyAlignment="1">
      <alignment horizontal="center" vertical="center" wrapText="1"/>
      <protection/>
    </xf>
    <xf numFmtId="0" fontId="0" fillId="0" borderId="22" xfId="56" applyBorder="1" applyAlignment="1">
      <alignment horizontal="center" vertical="center"/>
      <protection/>
    </xf>
    <xf numFmtId="2" fontId="21" fillId="0" borderId="10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14" fontId="66" fillId="25" borderId="16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 wrapText="1"/>
    </xf>
    <xf numFmtId="1" fontId="0" fillId="35" borderId="18" xfId="0" applyNumberForma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72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2" fontId="0" fillId="35" borderId="19" xfId="0" applyNumberFormat="1" applyFill="1" applyBorder="1" applyAlignment="1">
      <alignment horizontal="center" vertical="center"/>
    </xf>
    <xf numFmtId="1" fontId="0" fillId="36" borderId="19" xfId="0" applyNumberFormat="1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2" fontId="0" fillId="35" borderId="20" xfId="0" applyNumberForma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 horizontal="center"/>
    </xf>
    <xf numFmtId="4" fontId="28" fillId="37" borderId="10" xfId="56" applyNumberFormat="1" applyFont="1" applyFill="1" applyBorder="1" applyAlignment="1">
      <alignment horizontal="center" vertical="center" wrapText="1"/>
      <protection/>
    </xf>
    <xf numFmtId="2" fontId="25" fillId="0" borderId="10" xfId="0" applyNumberFormat="1" applyFont="1" applyBorder="1" applyAlignment="1">
      <alignment horizontal="center" vertical="center"/>
    </xf>
    <xf numFmtId="166" fontId="25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5" fontId="0" fillId="0" borderId="19" xfId="0" applyNumberForma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25" borderId="20" xfId="0" applyNumberFormat="1" applyFont="1" applyFill="1" applyBorder="1" applyAlignment="1">
      <alignment horizontal="center" vertical="center" wrapText="1"/>
    </xf>
    <xf numFmtId="0" fontId="19" fillId="0" borderId="0" xfId="56" applyFont="1" applyAlignment="1">
      <alignment horizontal="center" vertical="center" wrapText="1"/>
      <protection/>
    </xf>
    <xf numFmtId="0" fontId="29" fillId="0" borderId="0" xfId="56" applyFont="1" applyBorder="1" applyAlignment="1">
      <alignment horizontal="center"/>
      <protection/>
    </xf>
    <xf numFmtId="0" fontId="28" fillId="0" borderId="10" xfId="56" applyFont="1" applyFill="1" applyBorder="1" applyAlignment="1">
      <alignment horizontal="center" vertical="center" wrapText="1"/>
      <protection/>
    </xf>
    <xf numFmtId="0" fontId="29" fillId="0" borderId="0" xfId="56" applyFont="1" applyFill="1" applyBorder="1" applyAlignment="1">
      <alignment horizontal="center"/>
      <protection/>
    </xf>
    <xf numFmtId="0" fontId="28" fillId="0" borderId="23" xfId="56" applyFont="1" applyFill="1" applyBorder="1" applyAlignment="1">
      <alignment horizontal="center" vertical="center" wrapText="1"/>
      <protection/>
    </xf>
    <xf numFmtId="0" fontId="28" fillId="0" borderId="24" xfId="56" applyFont="1" applyFill="1" applyBorder="1" applyAlignment="1">
      <alignment horizontal="center" vertical="center" wrapText="1"/>
      <protection/>
    </xf>
    <xf numFmtId="0" fontId="28" fillId="0" borderId="25" xfId="56" applyFont="1" applyFill="1" applyBorder="1" applyAlignment="1">
      <alignment horizontal="center" vertical="center" wrapText="1"/>
      <protection/>
    </xf>
    <xf numFmtId="0" fontId="29" fillId="0" borderId="26" xfId="56" applyFont="1" applyFill="1" applyBorder="1" applyAlignment="1">
      <alignment horizontal="center" vertical="center" wrapText="1"/>
      <protection/>
    </xf>
    <xf numFmtId="0" fontId="29" fillId="0" borderId="27" xfId="56" applyFont="1" applyFill="1" applyBorder="1" applyAlignment="1">
      <alignment horizontal="center" vertical="center" wrapText="1"/>
      <protection/>
    </xf>
    <xf numFmtId="0" fontId="29" fillId="0" borderId="14" xfId="56" applyFont="1" applyFill="1" applyBorder="1" applyAlignment="1">
      <alignment horizontal="center" vertical="center" wrapText="1"/>
      <protection/>
    </xf>
    <xf numFmtId="0" fontId="29" fillId="0" borderId="0" xfId="56" applyFont="1" applyAlignment="1">
      <alignment horizontal="left"/>
      <protection/>
    </xf>
    <xf numFmtId="0" fontId="29" fillId="0" borderId="10" xfId="56" applyFont="1" applyFill="1" applyBorder="1" applyAlignment="1">
      <alignment horizontal="center" vertical="center" wrapText="1"/>
      <protection/>
    </xf>
    <xf numFmtId="0" fontId="29" fillId="0" borderId="16" xfId="56" applyFont="1" applyFill="1" applyBorder="1" applyAlignment="1">
      <alignment horizontal="center" vertical="center" wrapText="1"/>
      <protection/>
    </xf>
    <xf numFmtId="0" fontId="29" fillId="0" borderId="28" xfId="56" applyFont="1" applyFill="1" applyBorder="1" applyAlignment="1">
      <alignment horizontal="center" vertical="center" wrapText="1"/>
      <protection/>
    </xf>
    <xf numFmtId="0" fontId="29" fillId="0" borderId="11" xfId="56" applyFont="1" applyFill="1" applyBorder="1" applyAlignment="1">
      <alignment horizontal="center" vertical="center" wrapText="1"/>
      <protection/>
    </xf>
    <xf numFmtId="0" fontId="29" fillId="0" borderId="15" xfId="56" applyFont="1" applyFill="1" applyBorder="1" applyAlignment="1">
      <alignment horizontal="center" vertical="center" wrapText="1"/>
      <protection/>
    </xf>
    <xf numFmtId="0" fontId="28" fillId="0" borderId="0" xfId="56" applyFont="1" applyAlignment="1">
      <alignment horizontal="left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28" fillId="0" borderId="15" xfId="56" applyFont="1" applyBorder="1" applyAlignment="1">
      <alignment horizontal="center" vertical="center" wrapText="1"/>
      <protection/>
    </xf>
    <xf numFmtId="0" fontId="28" fillId="0" borderId="24" xfId="56" applyFont="1" applyBorder="1" applyAlignment="1">
      <alignment horizontal="center" vertical="center" wrapText="1"/>
      <protection/>
    </xf>
    <xf numFmtId="0" fontId="28" fillId="0" borderId="25" xfId="56" applyFont="1" applyBorder="1" applyAlignment="1">
      <alignment horizontal="center" vertical="center" wrapText="1"/>
      <protection/>
    </xf>
    <xf numFmtId="0" fontId="28" fillId="33" borderId="15" xfId="56" applyFont="1" applyFill="1" applyBorder="1" applyAlignment="1">
      <alignment horizontal="center" vertical="center"/>
      <protection/>
    </xf>
    <xf numFmtId="0" fontId="28" fillId="33" borderId="24" xfId="56" applyFont="1" applyFill="1" applyBorder="1" applyAlignment="1">
      <alignment horizontal="center" vertical="center"/>
      <protection/>
    </xf>
    <xf numFmtId="0" fontId="28" fillId="0" borderId="0" xfId="56" applyFont="1" applyBorder="1" applyAlignment="1">
      <alignment horizontal="center"/>
      <protection/>
    </xf>
    <xf numFmtId="0" fontId="28" fillId="0" borderId="0" xfId="56" applyFont="1" applyFill="1" applyAlignment="1">
      <alignment horizontal="center"/>
      <protection/>
    </xf>
    <xf numFmtId="0" fontId="28" fillId="0" borderId="0" xfId="56" applyFont="1" applyAlignment="1">
      <alignment horizontal="center"/>
      <protection/>
    </xf>
    <xf numFmtId="0" fontId="37" fillId="0" borderId="0" xfId="56" applyFont="1" applyFill="1" applyBorder="1" applyAlignment="1">
      <alignment horizontal="center"/>
      <protection/>
    </xf>
    <xf numFmtId="0" fontId="28" fillId="0" borderId="0" xfId="56" applyFont="1" applyFill="1" applyAlignment="1">
      <alignment horizontal="left"/>
      <protection/>
    </xf>
    <xf numFmtId="14" fontId="28" fillId="0" borderId="0" xfId="56" applyNumberFormat="1" applyFont="1" applyFill="1" applyAlignment="1">
      <alignment horizontal="center" vertical="center"/>
      <protection/>
    </xf>
    <xf numFmtId="0" fontId="33" fillId="0" borderId="10" xfId="56" applyFont="1" applyFill="1" applyBorder="1" applyAlignment="1">
      <alignment horizontal="center" vertical="center" wrapText="1"/>
      <protection/>
    </xf>
    <xf numFmtId="0" fontId="25" fillId="0" borderId="22" xfId="57" applyFont="1" applyFill="1" applyBorder="1" applyAlignment="1">
      <alignment horizontal="center"/>
      <protection/>
    </xf>
    <xf numFmtId="0" fontId="25" fillId="0" borderId="0" xfId="57" applyFont="1" applyFill="1" applyBorder="1" applyAlignment="1">
      <alignment horizontal="center"/>
      <protection/>
    </xf>
    <xf numFmtId="0" fontId="39" fillId="0" borderId="15" xfId="56" applyFont="1" applyFill="1" applyBorder="1" applyAlignment="1">
      <alignment horizontal="center" vertical="center" wrapText="1"/>
      <protection/>
    </xf>
    <xf numFmtId="0" fontId="39" fillId="0" borderId="24" xfId="56" applyFont="1" applyFill="1" applyBorder="1" applyAlignment="1">
      <alignment horizontal="center" vertical="center" wrapText="1"/>
      <protection/>
    </xf>
    <xf numFmtId="0" fontId="73" fillId="0" borderId="0" xfId="56" applyFont="1" applyAlignment="1">
      <alignment horizontal="center"/>
      <protection/>
    </xf>
    <xf numFmtId="0" fontId="33" fillId="0" borderId="0" xfId="56" applyFont="1" applyFill="1" applyBorder="1" applyAlignment="1">
      <alignment horizontal="center"/>
      <protection/>
    </xf>
    <xf numFmtId="14" fontId="29" fillId="0" borderId="0" xfId="56" applyNumberFormat="1" applyFont="1" applyBorder="1" applyAlignment="1">
      <alignment horizontal="left"/>
      <protection/>
    </xf>
    <xf numFmtId="0" fontId="29" fillId="0" borderId="0" xfId="56" applyFont="1" applyBorder="1" applyAlignment="1">
      <alignment horizontal="left"/>
      <protection/>
    </xf>
    <xf numFmtId="0" fontId="28" fillId="0" borderId="10" xfId="56" applyFont="1" applyBorder="1" applyAlignment="1">
      <alignment wrapText="1"/>
      <protection/>
    </xf>
    <xf numFmtId="0" fontId="27" fillId="0" borderId="0" xfId="56" applyFont="1" applyAlignment="1">
      <alignment horizontal="center"/>
      <protection/>
    </xf>
    <xf numFmtId="0" fontId="25" fillId="0" borderId="0" xfId="56" applyFont="1" applyAlignment="1">
      <alignment horizontal="center" wrapText="1"/>
      <protection/>
    </xf>
    <xf numFmtId="0" fontId="0" fillId="0" borderId="0" xfId="56" applyAlignment="1">
      <alignment wrapText="1"/>
      <protection/>
    </xf>
    <xf numFmtId="0" fontId="27" fillId="0" borderId="0" xfId="56" applyFont="1" applyAlignment="1">
      <alignment horizontal="center" wrapText="1"/>
      <protection/>
    </xf>
    <xf numFmtId="0" fontId="29" fillId="0" borderId="16" xfId="56" applyFont="1" applyBorder="1" applyAlignment="1">
      <alignment horizontal="center" vertical="center"/>
      <protection/>
    </xf>
    <xf numFmtId="0" fontId="29" fillId="0" borderId="11" xfId="56" applyFont="1" applyBorder="1" applyAlignment="1">
      <alignment horizontal="center" vertical="center"/>
      <protection/>
    </xf>
    <xf numFmtId="0" fontId="29" fillId="0" borderId="16" xfId="56" applyFont="1" applyBorder="1" applyAlignment="1">
      <alignment horizontal="center" vertical="center" wrapText="1"/>
      <protection/>
    </xf>
    <xf numFmtId="0" fontId="29" fillId="0" borderId="11" xfId="56" applyFont="1" applyBorder="1" applyAlignment="1">
      <alignment horizontal="center" vertical="center" wrapText="1"/>
      <protection/>
    </xf>
    <xf numFmtId="0" fontId="29" fillId="0" borderId="26" xfId="56" applyFont="1" applyBorder="1" applyAlignment="1">
      <alignment horizontal="center" vertical="center" wrapText="1"/>
      <protection/>
    </xf>
    <xf numFmtId="0" fontId="28" fillId="0" borderId="27" xfId="56" applyFont="1" applyBorder="1">
      <alignment/>
      <protection/>
    </xf>
    <xf numFmtId="0" fontId="28" fillId="0" borderId="14" xfId="56" applyFont="1" applyBorder="1">
      <alignment/>
      <protection/>
    </xf>
    <xf numFmtId="0" fontId="29" fillId="0" borderId="14" xfId="56" applyFont="1" applyBorder="1" applyAlignment="1">
      <alignment horizontal="center" vertical="center" wrapText="1"/>
      <protection/>
    </xf>
    <xf numFmtId="0" fontId="29" fillId="0" borderId="27" xfId="56" applyFont="1" applyBorder="1" applyAlignment="1">
      <alignment horizontal="center" vertical="center" wrapText="1"/>
      <protection/>
    </xf>
    <xf numFmtId="187" fontId="29" fillId="24" borderId="27" xfId="56" applyNumberFormat="1" applyFont="1" applyFill="1" applyBorder="1" applyAlignment="1">
      <alignment horizontal="center" vertical="center" wrapText="1"/>
      <protection/>
    </xf>
    <xf numFmtId="0" fontId="31" fillId="0" borderId="0" xfId="53" applyFont="1" applyBorder="1" applyAlignment="1">
      <alignment horizontal="center"/>
      <protection/>
    </xf>
    <xf numFmtId="0" fontId="29" fillId="0" borderId="15" xfId="56" applyFont="1" applyFill="1" applyBorder="1" applyAlignment="1">
      <alignment horizontal="center"/>
      <protection/>
    </xf>
    <xf numFmtId="0" fontId="29" fillId="0" borderId="24" xfId="56" applyFont="1" applyFill="1" applyBorder="1" applyAlignment="1">
      <alignment horizontal="center"/>
      <protection/>
    </xf>
    <xf numFmtId="0" fontId="29" fillId="0" borderId="25" xfId="56" applyFont="1" applyFill="1" applyBorder="1" applyAlignment="1">
      <alignment horizontal="center"/>
      <protection/>
    </xf>
    <xf numFmtId="0" fontId="28" fillId="0" borderId="10" xfId="56" applyFont="1" applyBorder="1" applyAlignment="1">
      <alignment horizontal="center" vertical="center"/>
      <protection/>
    </xf>
    <xf numFmtId="4" fontId="28" fillId="0" borderId="16" xfId="56" applyNumberFormat="1" applyFont="1" applyBorder="1" applyAlignment="1">
      <alignment horizontal="center" vertical="center" wrapText="1"/>
      <protection/>
    </xf>
    <xf numFmtId="4" fontId="28" fillId="0" borderId="28" xfId="56" applyNumberFormat="1" applyFont="1" applyBorder="1" applyAlignment="1">
      <alignment horizontal="center" vertical="center" wrapText="1"/>
      <protection/>
    </xf>
    <xf numFmtId="4" fontId="28" fillId="0" borderId="11" xfId="56" applyNumberFormat="1" applyFont="1" applyBorder="1" applyAlignment="1">
      <alignment horizontal="center" vertical="center" wrapText="1"/>
      <protection/>
    </xf>
    <xf numFmtId="43" fontId="29" fillId="0" borderId="16" xfId="56" applyNumberFormat="1" applyFont="1" applyBorder="1" applyAlignment="1">
      <alignment horizontal="center" vertical="center" wrapText="1"/>
      <protection/>
    </xf>
    <xf numFmtId="43" fontId="29" fillId="0" borderId="28" xfId="56" applyNumberFormat="1" applyFont="1" applyBorder="1" applyAlignment="1">
      <alignment horizontal="center" vertical="center" wrapText="1"/>
      <protection/>
    </xf>
    <xf numFmtId="0" fontId="25" fillId="0" borderId="1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2" fontId="25" fillId="0" borderId="15" xfId="67" applyNumberFormat="1" applyFont="1" applyBorder="1" applyAlignment="1">
      <alignment horizontal="center" vertical="center"/>
    </xf>
    <xf numFmtId="172" fontId="25" fillId="0" borderId="25" xfId="67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64" fontId="25" fillId="0" borderId="15" xfId="0" applyNumberFormat="1" applyFont="1" applyBorder="1" applyAlignment="1">
      <alignment horizontal="center"/>
    </xf>
    <xf numFmtId="164" fontId="25" fillId="0" borderId="25" xfId="0" applyNumberFormat="1" applyFont="1" applyBorder="1" applyAlignment="1">
      <alignment horizontal="center"/>
    </xf>
    <xf numFmtId="164" fontId="25" fillId="0" borderId="15" xfId="0" applyNumberFormat="1" applyFont="1" applyBorder="1" applyAlignment="1">
      <alignment horizontal="center" vertical="center"/>
    </xf>
    <xf numFmtId="164" fontId="25" fillId="0" borderId="25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wrapText="1"/>
    </xf>
    <xf numFmtId="14" fontId="18" fillId="25" borderId="23" xfId="0" applyNumberFormat="1" applyFont="1" applyFill="1" applyBorder="1" applyAlignment="1">
      <alignment horizontal="center" vertical="center" wrapText="1"/>
    </xf>
    <xf numFmtId="14" fontId="18" fillId="25" borderId="17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38" borderId="26" xfId="0" applyFont="1" applyFill="1" applyBorder="1" applyAlignment="1">
      <alignment horizontal="center" vertical="center" wrapText="1"/>
    </xf>
    <xf numFmtId="0" fontId="20" fillId="38" borderId="27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top" wrapText="1"/>
    </xf>
    <xf numFmtId="0" fontId="75" fillId="0" borderId="0" xfId="0" applyFont="1" applyAlignment="1">
      <alignment horizontal="center" vertical="top" wrapText="1"/>
    </xf>
    <xf numFmtId="0" fontId="74" fillId="26" borderId="22" xfId="0" applyFont="1" applyFill="1" applyBorder="1" applyAlignment="1">
      <alignment horizontal="left" vertical="top" wrapText="1"/>
    </xf>
    <xf numFmtId="0" fontId="74" fillId="26" borderId="0" xfId="0" applyFont="1" applyFill="1" applyAlignment="1">
      <alignment horizontal="left" vertical="top" wrapText="1"/>
    </xf>
    <xf numFmtId="14" fontId="18" fillId="0" borderId="23" xfId="0" applyNumberFormat="1" applyFont="1" applyFill="1" applyBorder="1" applyAlignment="1">
      <alignment horizontal="center" vertical="center" wrapText="1"/>
    </xf>
    <xf numFmtId="14" fontId="18" fillId="0" borderId="17" xfId="0" applyNumberFormat="1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2" fillId="31" borderId="26" xfId="0" applyFont="1" applyFill="1" applyBorder="1" applyAlignment="1">
      <alignment horizontal="center" vertical="center" wrapText="1"/>
    </xf>
    <xf numFmtId="0" fontId="22" fillId="31" borderId="14" xfId="0" applyFont="1" applyFill="1" applyBorder="1" applyAlignment="1">
      <alignment horizontal="center" vertical="center" wrapText="1"/>
    </xf>
    <xf numFmtId="0" fontId="22" fillId="31" borderId="23" xfId="0" applyFont="1" applyFill="1" applyBorder="1" applyAlignment="1">
      <alignment horizontal="center" vertical="center" wrapText="1"/>
    </xf>
    <xf numFmtId="0" fontId="22" fillId="31" borderId="17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0" fillId="38" borderId="15" xfId="0" applyFont="1" applyFill="1" applyBorder="1" applyAlignment="1">
      <alignment horizontal="center" vertical="center" wrapText="1"/>
    </xf>
    <xf numFmtId="0" fontId="20" fillId="38" borderId="24" xfId="0" applyFont="1" applyFill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6" fillId="36" borderId="16" xfId="0" applyFont="1" applyFill="1" applyBorder="1" applyAlignment="1">
      <alignment horizontal="center" vertical="center" wrapText="1"/>
    </xf>
    <xf numFmtId="0" fontId="66" fillId="36" borderId="28" xfId="0" applyFont="1" applyFill="1" applyBorder="1" applyAlignment="1">
      <alignment horizontal="center" vertical="center" wrapText="1"/>
    </xf>
    <xf numFmtId="0" fontId="66" fillId="36" borderId="11" xfId="0" applyFont="1" applyFill="1" applyBorder="1" applyAlignment="1">
      <alignment horizontal="center" vertical="center" wrapText="1"/>
    </xf>
    <xf numFmtId="0" fontId="66" fillId="34" borderId="15" xfId="0" applyFont="1" applyFill="1" applyBorder="1" applyAlignment="1">
      <alignment horizontal="center" vertical="center" wrapText="1"/>
    </xf>
    <xf numFmtId="0" fontId="66" fillId="34" borderId="25" xfId="0" applyFont="1" applyFill="1" applyBorder="1" applyAlignment="1">
      <alignment horizontal="center" vertical="center" wrapText="1"/>
    </xf>
    <xf numFmtId="0" fontId="66" fillId="34" borderId="16" xfId="0" applyFont="1" applyFill="1" applyBorder="1" applyAlignment="1">
      <alignment horizontal="center" vertical="center" wrapText="1"/>
    </xf>
    <xf numFmtId="0" fontId="66" fillId="34" borderId="28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71" fillId="0" borderId="0" xfId="0" applyFont="1" applyAlignment="1">
      <alignment horizontal="right" vertical="center"/>
    </xf>
    <xf numFmtId="0" fontId="66" fillId="0" borderId="16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35" borderId="16" xfId="0" applyFont="1" applyFill="1" applyBorder="1" applyAlignment="1">
      <alignment horizontal="center" vertical="center" wrapText="1"/>
    </xf>
    <xf numFmtId="0" fontId="66" fillId="35" borderId="28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Инф. 26.07." xfId="55"/>
    <cellStyle name="Обычный 3" xfId="56"/>
    <cellStyle name="Обычный_Кадры   (5)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895350</xdr:colOff>
      <xdr:row>6</xdr:row>
      <xdr:rowOff>0</xdr:rowOff>
    </xdr:from>
    <xdr:ext cx="219075" cy="161925"/>
    <xdr:sp fLocksText="0">
      <xdr:nvSpPr>
        <xdr:cNvPr id="1" name="TextBox 1"/>
        <xdr:cNvSpPr txBox="1">
          <a:spLocks noChangeArrowheads="1"/>
        </xdr:cNvSpPr>
      </xdr:nvSpPr>
      <xdr:spPr>
        <a:xfrm>
          <a:off x="4667250" y="10287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552450</xdr:colOff>
      <xdr:row>7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219700" y="20383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552450</xdr:colOff>
      <xdr:row>7</xdr:row>
      <xdr:rowOff>0</xdr:rowOff>
    </xdr:from>
    <xdr:ext cx="20955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219700" y="20383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72;&#1103;%20&#1087;&#1072;&#1087;&#1082;&#1072;\&#1048;&#1085;&#1092;&#1086;&#1088;&#1084;&#1072;&#1094;&#1080;&#1103;%202012\&#1071;&#1085;&#1074;&#1072;&#1088;&#1100;%202012\&#1054;&#1058;&#1063;&#1045;&#1058;&#1067;%20&#1074;%20&#1044;&#1077;&#1087;&#1072;&#1088;&#1090;&#1072;&#1084;&#1077;&#1085;&#1090;%2016%20&#1084;&#1072;&#1088;&#1090;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4 (2)"/>
      <sheetName val="Прил 5"/>
      <sheetName val="Прил 5 (2)"/>
      <sheetName val="Каз.Сод"/>
      <sheetName val="Каз.Сод (2)"/>
      <sheetName val="Заготовка"/>
      <sheetName val="ИнертГеод"/>
      <sheetName val="Занятость"/>
    </sheetNames>
    <sheetDataSet>
      <sheetData sheetId="4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30">
          <cell r="E30">
            <v>0</v>
          </cell>
        </row>
        <row r="31">
          <cell r="F31">
            <v>13</v>
          </cell>
        </row>
        <row r="35">
          <cell r="F35">
            <v>226.29999999999998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6">
      <selection activeCell="H22" sqref="H22"/>
    </sheetView>
  </sheetViews>
  <sheetFormatPr defaultColWidth="9.00390625" defaultRowHeight="12.75"/>
  <cols>
    <col min="1" max="1" width="5.125" style="81" customWidth="1"/>
    <col min="2" max="2" width="33.875" style="81" customWidth="1"/>
    <col min="3" max="4" width="11.625" style="81" customWidth="1"/>
    <col min="5" max="5" width="13.00390625" style="81" customWidth="1"/>
    <col min="6" max="6" width="13.375" style="81" customWidth="1"/>
    <col min="7" max="8" width="9.25390625" style="81" customWidth="1"/>
    <col min="9" max="9" width="13.25390625" style="81" customWidth="1"/>
    <col min="10" max="16384" width="9.125" style="81" customWidth="1"/>
  </cols>
  <sheetData>
    <row r="1" spans="1:6" ht="12" customHeight="1">
      <c r="A1" s="333" t="s">
        <v>230</v>
      </c>
      <c r="B1" s="333"/>
      <c r="C1" s="82"/>
      <c r="D1" s="82"/>
      <c r="E1" s="82"/>
      <c r="F1" s="82"/>
    </row>
    <row r="2" spans="1:6" ht="12" customHeight="1">
      <c r="A2" s="125"/>
      <c r="B2" s="125"/>
      <c r="C2" s="82"/>
      <c r="D2" s="82"/>
      <c r="E2" s="82"/>
      <c r="F2" s="82"/>
    </row>
    <row r="3" spans="1:6" ht="12" customHeight="1">
      <c r="A3" s="125"/>
      <c r="B3" s="125"/>
      <c r="C3" s="82"/>
      <c r="D3" s="82"/>
      <c r="E3" s="82"/>
      <c r="F3" s="82"/>
    </row>
    <row r="4" spans="1:6" ht="12" customHeight="1">
      <c r="A4" s="324" t="s">
        <v>229</v>
      </c>
      <c r="B4" s="324"/>
      <c r="C4" s="324"/>
      <c r="D4" s="324"/>
      <c r="E4" s="324"/>
      <c r="F4" s="324"/>
    </row>
    <row r="5" spans="1:6" ht="12" customHeight="1">
      <c r="A5" s="324" t="s">
        <v>231</v>
      </c>
      <c r="B5" s="324"/>
      <c r="C5" s="324"/>
      <c r="D5" s="324"/>
      <c r="E5" s="324"/>
      <c r="F5" s="324"/>
    </row>
    <row r="6" spans="1:6" ht="12" customHeight="1">
      <c r="A6" s="126"/>
      <c r="B6" s="126"/>
      <c r="C6" s="126"/>
      <c r="D6" s="126"/>
      <c r="E6" s="126"/>
      <c r="F6" s="126"/>
    </row>
    <row r="7" spans="2:6" ht="12" customHeight="1">
      <c r="B7" s="127"/>
      <c r="C7" s="127"/>
      <c r="D7" s="127"/>
      <c r="E7" s="127"/>
      <c r="F7" s="208">
        <f>'9.Департамент'!E3</f>
        <v>40962</v>
      </c>
    </row>
    <row r="8" spans="1:6" ht="12" customHeight="1">
      <c r="A8" s="82"/>
      <c r="B8" s="82"/>
      <c r="C8" s="82"/>
      <c r="D8" s="82"/>
      <c r="E8" s="82"/>
      <c r="F8" s="207"/>
    </row>
    <row r="9" spans="1:6" ht="32.25" customHeight="1">
      <c r="A9" s="334" t="s">
        <v>173</v>
      </c>
      <c r="B9" s="335" t="s">
        <v>228</v>
      </c>
      <c r="C9" s="334" t="s">
        <v>227</v>
      </c>
      <c r="D9" s="330" t="s">
        <v>93</v>
      </c>
      <c r="E9" s="331"/>
      <c r="F9" s="332"/>
    </row>
    <row r="10" spans="1:6" ht="27.75" customHeight="1">
      <c r="A10" s="334"/>
      <c r="B10" s="336"/>
      <c r="C10" s="338"/>
      <c r="D10" s="206" t="s">
        <v>236</v>
      </c>
      <c r="E10" s="85" t="s">
        <v>309</v>
      </c>
      <c r="F10" s="206" t="s">
        <v>226</v>
      </c>
    </row>
    <row r="11" spans="1:6" ht="24" customHeight="1">
      <c r="A11" s="334"/>
      <c r="B11" s="337"/>
      <c r="C11" s="338"/>
      <c r="D11" s="205" t="s">
        <v>232</v>
      </c>
      <c r="E11" s="213" t="s">
        <v>310</v>
      </c>
      <c r="F11" s="205" t="s">
        <v>225</v>
      </c>
    </row>
    <row r="12" spans="1:6" ht="15" customHeight="1">
      <c r="A12" s="325" t="s">
        <v>224</v>
      </c>
      <c r="B12" s="325"/>
      <c r="C12" s="95" t="s">
        <v>6</v>
      </c>
      <c r="D12" s="327">
        <v>102</v>
      </c>
      <c r="E12" s="328"/>
      <c r="F12" s="329"/>
    </row>
    <row r="13" spans="1:11" ht="25.5" customHeight="1">
      <c r="A13" s="183">
        <v>1</v>
      </c>
      <c r="B13" s="197" t="s">
        <v>223</v>
      </c>
      <c r="C13" s="183" t="s">
        <v>176</v>
      </c>
      <c r="D13" s="183">
        <v>102</v>
      </c>
      <c r="E13" s="95"/>
      <c r="F13" s="221">
        <v>51.42</v>
      </c>
      <c r="H13" s="177"/>
      <c r="K13" s="323"/>
    </row>
    <row r="14" spans="1:11" ht="25.5" customHeight="1">
      <c r="A14" s="185">
        <v>2</v>
      </c>
      <c r="B14" s="197" t="s">
        <v>222</v>
      </c>
      <c r="C14" s="183" t="s">
        <v>176</v>
      </c>
      <c r="D14" s="183">
        <v>71.44</v>
      </c>
      <c r="E14" s="124"/>
      <c r="F14" s="221">
        <v>34.4</v>
      </c>
      <c r="K14" s="323"/>
    </row>
    <row r="15" spans="1:11" ht="25.5" customHeight="1">
      <c r="A15" s="183">
        <v>3</v>
      </c>
      <c r="B15" s="197" t="s">
        <v>221</v>
      </c>
      <c r="C15" s="95" t="s">
        <v>178</v>
      </c>
      <c r="D15" s="95">
        <v>44</v>
      </c>
      <c r="E15" s="95">
        <v>28</v>
      </c>
      <c r="F15" s="185">
        <v>9</v>
      </c>
      <c r="G15" s="141"/>
      <c r="K15" s="323"/>
    </row>
    <row r="16" spans="1:8" ht="25.5" customHeight="1">
      <c r="A16" s="185">
        <v>4</v>
      </c>
      <c r="B16" s="197" t="s">
        <v>220</v>
      </c>
      <c r="C16" s="95" t="s">
        <v>233</v>
      </c>
      <c r="D16" s="95">
        <v>2466.3</v>
      </c>
      <c r="E16" s="96">
        <f>'5.Выпол.работ'!D16</f>
        <v>1251.88</v>
      </c>
      <c r="F16" s="204">
        <f>'5.Выпол.работ'!G16</f>
        <v>415.0300000000002</v>
      </c>
      <c r="H16" s="177"/>
    </row>
    <row r="17" spans="1:8" ht="25.5" customHeight="1">
      <c r="A17" s="185">
        <v>5</v>
      </c>
      <c r="B17" s="197" t="s">
        <v>234</v>
      </c>
      <c r="C17" s="183" t="s">
        <v>176</v>
      </c>
      <c r="D17" s="95"/>
      <c r="E17" s="96"/>
      <c r="F17" s="204"/>
      <c r="H17" s="177"/>
    </row>
    <row r="18" spans="1:11" ht="25.5" customHeight="1">
      <c r="A18" s="185">
        <v>6</v>
      </c>
      <c r="B18" s="197" t="s">
        <v>219</v>
      </c>
      <c r="C18" s="183" t="s">
        <v>176</v>
      </c>
      <c r="D18" s="183">
        <v>102</v>
      </c>
      <c r="E18" s="95">
        <f>'5.Выпол.работ'!C15</f>
        <v>60.05</v>
      </c>
      <c r="F18" s="221">
        <f>'5.Выпол.работ'!F15</f>
        <v>0</v>
      </c>
      <c r="H18" s="177"/>
      <c r="K18" s="199"/>
    </row>
    <row r="19" spans="1:11" ht="25.5" customHeight="1">
      <c r="A19" s="185">
        <v>7</v>
      </c>
      <c r="B19" s="197" t="s">
        <v>218</v>
      </c>
      <c r="C19" s="183" t="s">
        <v>176</v>
      </c>
      <c r="D19" s="183">
        <v>102</v>
      </c>
      <c r="E19" s="95">
        <f>'5.Выпол.работ'!C14</f>
        <v>61.8</v>
      </c>
      <c r="F19" s="185">
        <f>'5.Выпол.работ'!F14</f>
        <v>0</v>
      </c>
      <c r="K19" s="199"/>
    </row>
    <row r="20" spans="1:11" ht="51" customHeight="1">
      <c r="A20" s="185">
        <v>8</v>
      </c>
      <c r="B20" s="197" t="s">
        <v>217</v>
      </c>
      <c r="C20" s="183" t="s">
        <v>176</v>
      </c>
      <c r="D20" s="183">
        <v>102</v>
      </c>
      <c r="E20" s="95">
        <f>'5.Выпол.работ'!C13</f>
        <v>62.45</v>
      </c>
      <c r="F20" s="221">
        <f>'5.Выпол.работ'!F13</f>
        <v>0</v>
      </c>
      <c r="K20" s="199"/>
    </row>
    <row r="21" spans="1:11" ht="38.25" customHeight="1">
      <c r="A21" s="185">
        <v>9</v>
      </c>
      <c r="B21" s="197" t="s">
        <v>216</v>
      </c>
      <c r="C21" s="183" t="s">
        <v>176</v>
      </c>
      <c r="D21" s="183">
        <v>102</v>
      </c>
      <c r="E21" s="95">
        <f>'5.Выпол.работ'!C12</f>
        <v>62.52</v>
      </c>
      <c r="F21" s="221">
        <f>'5.Выпол.работ'!F12</f>
        <v>0</v>
      </c>
      <c r="G21" s="203" t="s">
        <v>214</v>
      </c>
      <c r="H21" s="202">
        <v>913</v>
      </c>
      <c r="K21" s="199"/>
    </row>
    <row r="22" spans="1:11" ht="39" customHeight="1">
      <c r="A22" s="185">
        <v>10</v>
      </c>
      <c r="B22" s="197" t="s">
        <v>215</v>
      </c>
      <c r="C22" s="183" t="s">
        <v>176</v>
      </c>
      <c r="D22" s="183">
        <v>102</v>
      </c>
      <c r="E22" s="95">
        <f>'5.Выпол.работ'!C11</f>
        <v>100.8</v>
      </c>
      <c r="F22" s="221"/>
      <c r="G22" s="214" t="s">
        <v>244</v>
      </c>
      <c r="H22" s="215">
        <f>499+2+1+1+1</f>
        <v>504</v>
      </c>
      <c r="K22" s="199"/>
    </row>
    <row r="23" spans="1:11" ht="25.5" customHeight="1">
      <c r="A23" s="185">
        <v>11</v>
      </c>
      <c r="B23" s="197" t="s">
        <v>213</v>
      </c>
      <c r="C23" s="95" t="s">
        <v>178</v>
      </c>
      <c r="D23" s="95">
        <v>16</v>
      </c>
      <c r="E23" s="95">
        <f>'5.Выпол.работ'!C17</f>
        <v>12.15</v>
      </c>
      <c r="F23" s="170">
        <v>5.18</v>
      </c>
      <c r="G23" s="201" t="s">
        <v>3</v>
      </c>
      <c r="H23" s="200">
        <f>H21-H22</f>
        <v>409</v>
      </c>
      <c r="K23" s="199"/>
    </row>
    <row r="24" spans="1:9" ht="40.5" customHeight="1">
      <c r="A24" s="185">
        <v>12</v>
      </c>
      <c r="B24" s="197" t="s">
        <v>212</v>
      </c>
      <c r="C24" s="95" t="s">
        <v>233</v>
      </c>
      <c r="D24" s="220">
        <f>'4.Материалы'!D19</f>
        <v>540.8329032258064</v>
      </c>
      <c r="E24" s="220">
        <f>'4.Материалы'!E19</f>
        <v>255.79935483870966</v>
      </c>
      <c r="F24" s="221">
        <f>'4.Материалы'!F19</f>
        <v>189.39</v>
      </c>
      <c r="G24" s="198"/>
      <c r="H24" s="195"/>
      <c r="I24" s="195"/>
    </row>
    <row r="25" spans="1:9" ht="25.5" customHeight="1">
      <c r="A25" s="185">
        <v>13</v>
      </c>
      <c r="B25" s="197" t="s">
        <v>211</v>
      </c>
      <c r="C25" s="95" t="s">
        <v>233</v>
      </c>
      <c r="D25" s="220">
        <f>'4.Материалы'!D10</f>
        <v>634.6278571428572</v>
      </c>
      <c r="E25" s="220">
        <f>'4.Материалы'!E10</f>
        <v>356.1514285714286</v>
      </c>
      <c r="F25" s="220">
        <f>'4.Материалы'!F10</f>
        <v>100.69</v>
      </c>
      <c r="G25" s="153"/>
      <c r="H25" s="196"/>
      <c r="I25" s="195"/>
    </row>
    <row r="26" spans="1:6" ht="26.25" customHeight="1">
      <c r="A26" s="185">
        <v>14</v>
      </c>
      <c r="B26" s="197" t="s">
        <v>235</v>
      </c>
      <c r="C26" s="95" t="s">
        <v>233</v>
      </c>
      <c r="D26" s="123">
        <f>'4.Материалы'!D20</f>
        <v>10.101</v>
      </c>
      <c r="E26" s="123">
        <f>'4.Материалы'!E20</f>
        <v>6.164</v>
      </c>
      <c r="F26" s="220">
        <f>'4.Материалы'!F20</f>
        <v>2.4</v>
      </c>
    </row>
    <row r="27" spans="1:6" ht="12" customHeight="1">
      <c r="A27" s="146"/>
      <c r="B27" s="146" t="s">
        <v>210</v>
      </c>
      <c r="C27" s="146"/>
      <c r="D27" s="146"/>
      <c r="E27" s="146"/>
      <c r="F27" s="146"/>
    </row>
    <row r="28" spans="1:6" ht="12" customHeight="1">
      <c r="A28" s="146"/>
      <c r="B28" s="326"/>
      <c r="C28" s="326"/>
      <c r="D28" s="326"/>
      <c r="E28" s="326"/>
      <c r="F28" s="326"/>
    </row>
    <row r="29" spans="1:7" ht="12" customHeight="1">
      <c r="A29" s="146"/>
      <c r="B29" s="82"/>
      <c r="C29" s="147" t="s">
        <v>108</v>
      </c>
      <c r="D29" s="147"/>
      <c r="E29" s="82"/>
      <c r="F29" s="82"/>
      <c r="G29" s="82"/>
    </row>
    <row r="30" spans="1:7" ht="12" customHeight="1">
      <c r="A30" s="194"/>
      <c r="B30" s="324" t="s">
        <v>109</v>
      </c>
      <c r="C30" s="324"/>
      <c r="D30" s="324"/>
      <c r="E30" s="324"/>
      <c r="F30" s="324"/>
      <c r="G30" s="324"/>
    </row>
    <row r="31" spans="1:6" ht="12" customHeight="1">
      <c r="A31" s="146"/>
      <c r="B31" s="146"/>
      <c r="C31" s="146"/>
      <c r="D31" s="146"/>
      <c r="E31" s="146"/>
      <c r="F31" s="146"/>
    </row>
    <row r="32" spans="1:6" ht="12.75">
      <c r="A32" s="146"/>
      <c r="B32" s="146" t="s">
        <v>209</v>
      </c>
      <c r="C32" s="146" t="s">
        <v>208</v>
      </c>
      <c r="D32" s="146"/>
      <c r="E32" s="193">
        <v>0.75</v>
      </c>
      <c r="F32" s="146"/>
    </row>
    <row r="33" spans="1:6" ht="12.75">
      <c r="A33" s="82"/>
      <c r="B33" s="82"/>
      <c r="C33" s="82" t="s">
        <v>207</v>
      </c>
      <c r="D33" s="82"/>
      <c r="E33" s="192">
        <v>0.5</v>
      </c>
      <c r="F33" s="82"/>
    </row>
    <row r="34" spans="1:6" ht="12.75">
      <c r="A34" s="82"/>
      <c r="B34" s="82"/>
      <c r="C34" s="82"/>
      <c r="D34" s="82"/>
      <c r="E34" s="82"/>
      <c r="F34" s="82"/>
    </row>
    <row r="35" spans="1:6" ht="12.75">
      <c r="A35" s="82"/>
      <c r="B35" s="82"/>
      <c r="C35" s="82"/>
      <c r="D35" s="82"/>
      <c r="E35" s="82"/>
      <c r="F35" s="82"/>
    </row>
    <row r="36" spans="1:6" ht="12.75">
      <c r="A36" s="82"/>
      <c r="B36" s="82"/>
      <c r="C36" s="82"/>
      <c r="D36" s="82"/>
      <c r="E36" s="82"/>
      <c r="F36" s="82"/>
    </row>
    <row r="37" spans="1:6" ht="12.75">
      <c r="A37" s="82"/>
      <c r="B37" s="82"/>
      <c r="C37" s="82"/>
      <c r="D37" s="82"/>
      <c r="E37" s="82"/>
      <c r="F37" s="82"/>
    </row>
    <row r="38" spans="1:6" ht="12.75">
      <c r="A38" s="82"/>
      <c r="B38" s="82"/>
      <c r="C38" s="82"/>
      <c r="D38" s="82"/>
      <c r="E38" s="82"/>
      <c r="F38" s="82"/>
    </row>
    <row r="39" spans="1:6" ht="12.75">
      <c r="A39" s="82"/>
      <c r="B39" s="82"/>
      <c r="C39" s="82"/>
      <c r="D39" s="82"/>
      <c r="E39" s="82"/>
      <c r="F39" s="82"/>
    </row>
    <row r="40" spans="1:6" ht="12.75">
      <c r="A40" s="82"/>
      <c r="B40" s="82"/>
      <c r="C40" s="82"/>
      <c r="D40" s="82"/>
      <c r="E40" s="82"/>
      <c r="F40" s="82"/>
    </row>
    <row r="41" spans="1:6" ht="12.75">
      <c r="A41" s="82"/>
      <c r="B41" s="82"/>
      <c r="C41" s="82"/>
      <c r="D41" s="82"/>
      <c r="E41" s="82"/>
      <c r="F41" s="82"/>
    </row>
    <row r="42" spans="1:6" ht="12.75">
      <c r="A42" s="82"/>
      <c r="B42" s="82"/>
      <c r="C42" s="82"/>
      <c r="D42" s="82"/>
      <c r="E42" s="82"/>
      <c r="F42" s="82"/>
    </row>
  </sheetData>
  <sheetProtection/>
  <mergeCells count="12">
    <mergeCell ref="A1:B1"/>
    <mergeCell ref="A4:F4"/>
    <mergeCell ref="A5:F5"/>
    <mergeCell ref="A9:A11"/>
    <mergeCell ref="B9:B11"/>
    <mergeCell ref="C9:C11"/>
    <mergeCell ref="K13:K15"/>
    <mergeCell ref="B30:G30"/>
    <mergeCell ref="A12:B12"/>
    <mergeCell ref="B28:F28"/>
    <mergeCell ref="D12:F12"/>
    <mergeCell ref="D9:F9"/>
  </mergeCells>
  <printOptions/>
  <pageMargins left="0.25" right="0.25" top="0.75" bottom="0.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workbookViewId="0" topLeftCell="A7">
      <selection activeCell="B22" sqref="B22"/>
    </sheetView>
  </sheetViews>
  <sheetFormatPr defaultColWidth="9.00390625" defaultRowHeight="12.75"/>
  <cols>
    <col min="1" max="1" width="5.75390625" style="81" customWidth="1"/>
    <col min="2" max="2" width="35.25390625" style="81" customWidth="1"/>
    <col min="3" max="3" width="8.625" style="81" customWidth="1"/>
    <col min="4" max="4" width="10.875" style="81" customWidth="1"/>
    <col min="5" max="5" width="9.00390625" style="81" customWidth="1"/>
    <col min="6" max="6" width="10.875" style="81" customWidth="1"/>
    <col min="7" max="16384" width="9.125" style="81" customWidth="1"/>
  </cols>
  <sheetData>
    <row r="1" spans="1:5" ht="12.75">
      <c r="A1" s="339" t="s">
        <v>172</v>
      </c>
      <c r="B1" s="339"/>
      <c r="C1" s="82"/>
      <c r="D1" s="82"/>
      <c r="E1" s="82"/>
    </row>
    <row r="2" spans="1:5" ht="15" customHeight="1">
      <c r="A2" s="149" t="s">
        <v>82</v>
      </c>
      <c r="B2" s="154">
        <f>'9.Департамент'!E3</f>
        <v>40962</v>
      </c>
      <c r="C2" s="146"/>
      <c r="D2" s="82"/>
      <c r="E2" s="82"/>
    </row>
    <row r="3" spans="1:6" ht="15" customHeight="1">
      <c r="A3" s="347" t="s">
        <v>151</v>
      </c>
      <c r="B3" s="347"/>
      <c r="C3" s="347"/>
      <c r="D3" s="347"/>
      <c r="E3" s="347"/>
      <c r="F3" s="347"/>
    </row>
    <row r="4" spans="1:9" ht="13.5" customHeight="1">
      <c r="A4" s="348"/>
      <c r="B4" s="348"/>
      <c r="C4" s="348"/>
      <c r="D4" s="348"/>
      <c r="E4" s="348"/>
      <c r="F4" s="348"/>
      <c r="I4" s="179"/>
    </row>
    <row r="5" spans="1:6" ht="15" customHeight="1">
      <c r="A5" s="346" t="s">
        <v>120</v>
      </c>
      <c r="B5" s="346"/>
      <c r="C5" s="346"/>
      <c r="D5" s="346"/>
      <c r="E5" s="346"/>
      <c r="F5" s="346"/>
    </row>
    <row r="6" spans="1:6" ht="12.75" customHeight="1">
      <c r="A6" s="346" t="s">
        <v>192</v>
      </c>
      <c r="B6" s="346"/>
      <c r="C6" s="346"/>
      <c r="D6" s="346"/>
      <c r="E6" s="346"/>
      <c r="F6" s="346"/>
    </row>
    <row r="7" spans="1:5" ht="13.5" customHeight="1">
      <c r="A7" s="180"/>
      <c r="B7" s="180"/>
      <c r="C7" s="180"/>
      <c r="D7" s="180"/>
      <c r="E7" s="180"/>
    </row>
    <row r="8" spans="1:6" ht="24.75" customHeight="1">
      <c r="A8" s="340" t="s">
        <v>173</v>
      </c>
      <c r="B8" s="340" t="s">
        <v>174</v>
      </c>
      <c r="C8" s="341" t="s">
        <v>195</v>
      </c>
      <c r="D8" s="341" t="s">
        <v>175</v>
      </c>
      <c r="E8" s="342"/>
      <c r="F8" s="343"/>
    </row>
    <row r="9" spans="1:6" ht="12.75" customHeight="1">
      <c r="A9" s="340"/>
      <c r="B9" s="340"/>
      <c r="C9" s="341"/>
      <c r="D9" s="341" t="s">
        <v>193</v>
      </c>
      <c r="E9" s="342"/>
      <c r="F9" s="343"/>
    </row>
    <row r="10" spans="1:9" ht="56.25" customHeight="1">
      <c r="A10" s="340"/>
      <c r="B10" s="340"/>
      <c r="C10" s="341"/>
      <c r="D10" s="92" t="s">
        <v>196</v>
      </c>
      <c r="E10" s="92" t="s">
        <v>190</v>
      </c>
      <c r="F10" s="288" t="s">
        <v>191</v>
      </c>
      <c r="G10" s="294"/>
      <c r="H10" s="292"/>
      <c r="I10" s="293"/>
    </row>
    <row r="11" spans="1:9" ht="21" customHeight="1">
      <c r="A11" s="181"/>
      <c r="B11" s="182" t="s">
        <v>194</v>
      </c>
      <c r="C11" s="181" t="s">
        <v>176</v>
      </c>
      <c r="D11" s="344">
        <v>102</v>
      </c>
      <c r="E11" s="345"/>
      <c r="F11" s="345"/>
      <c r="G11" s="274"/>
      <c r="H11" s="273"/>
      <c r="I11" s="273"/>
    </row>
    <row r="12" spans="1:9" ht="20.25" customHeight="1">
      <c r="A12" s="90">
        <v>1</v>
      </c>
      <c r="B12" s="82" t="s">
        <v>177</v>
      </c>
      <c r="C12" s="183" t="s">
        <v>178</v>
      </c>
      <c r="D12" s="191">
        <f>E12+F12</f>
        <v>10</v>
      </c>
      <c r="E12" s="170">
        <v>6</v>
      </c>
      <c r="F12" s="289">
        <v>4</v>
      </c>
      <c r="G12" s="294"/>
      <c r="H12" s="292"/>
      <c r="I12" s="273"/>
    </row>
    <row r="13" spans="1:9" ht="20.25" customHeight="1">
      <c r="A13" s="90">
        <v>2</v>
      </c>
      <c r="B13" s="184" t="s">
        <v>179</v>
      </c>
      <c r="C13" s="183" t="s">
        <v>178</v>
      </c>
      <c r="D13" s="191">
        <f aca="true" t="shared" si="0" ref="D13:D32">E13+F13</f>
        <v>9</v>
      </c>
      <c r="E13" s="185">
        <v>5</v>
      </c>
      <c r="F13" s="289">
        <v>4</v>
      </c>
      <c r="G13" s="294"/>
      <c r="H13" s="292"/>
      <c r="I13" s="273"/>
    </row>
    <row r="14" spans="1:9" ht="18.75" customHeight="1">
      <c r="A14" s="90">
        <v>3</v>
      </c>
      <c r="B14" s="186" t="s">
        <v>180</v>
      </c>
      <c r="C14" s="183" t="s">
        <v>178</v>
      </c>
      <c r="D14" s="191">
        <f t="shared" si="0"/>
        <v>14</v>
      </c>
      <c r="E14" s="185">
        <v>7</v>
      </c>
      <c r="F14" s="289">
        <v>7</v>
      </c>
      <c r="G14" s="294"/>
      <c r="H14" s="292"/>
      <c r="I14" s="273"/>
    </row>
    <row r="15" spans="1:9" ht="18.75" customHeight="1">
      <c r="A15" s="90">
        <v>4</v>
      </c>
      <c r="B15" s="186" t="s">
        <v>181</v>
      </c>
      <c r="C15" s="183" t="s">
        <v>178</v>
      </c>
      <c r="D15" s="191">
        <f t="shared" si="0"/>
        <v>11</v>
      </c>
      <c r="E15" s="185">
        <v>7</v>
      </c>
      <c r="F15" s="289">
        <v>4</v>
      </c>
      <c r="G15" s="294"/>
      <c r="H15" s="292"/>
      <c r="I15" s="273"/>
    </row>
    <row r="16" spans="1:9" ht="20.25" customHeight="1">
      <c r="A16" s="90">
        <v>5</v>
      </c>
      <c r="B16" s="186" t="s">
        <v>182</v>
      </c>
      <c r="C16" s="183" t="s">
        <v>178</v>
      </c>
      <c r="D16" s="191">
        <f t="shared" si="0"/>
        <v>1</v>
      </c>
      <c r="E16" s="185">
        <v>0</v>
      </c>
      <c r="F16" s="289">
        <v>1</v>
      </c>
      <c r="G16" s="294"/>
      <c r="H16" s="292"/>
      <c r="I16" s="273"/>
    </row>
    <row r="17" spans="1:9" ht="20.25" customHeight="1">
      <c r="A17" s="90">
        <v>6</v>
      </c>
      <c r="B17" s="186" t="s">
        <v>183</v>
      </c>
      <c r="C17" s="183" t="s">
        <v>178</v>
      </c>
      <c r="D17" s="191">
        <f t="shared" si="0"/>
        <v>26</v>
      </c>
      <c r="E17" s="185">
        <v>14</v>
      </c>
      <c r="F17" s="289">
        <v>12</v>
      </c>
      <c r="G17" s="294"/>
      <c r="H17" s="292"/>
      <c r="I17" s="273"/>
    </row>
    <row r="18" spans="1:9" ht="20.25" customHeight="1">
      <c r="A18" s="90">
        <v>7</v>
      </c>
      <c r="B18" s="186" t="s">
        <v>184</v>
      </c>
      <c r="C18" s="183" t="s">
        <v>178</v>
      </c>
      <c r="D18" s="191">
        <f t="shared" si="0"/>
        <v>4</v>
      </c>
      <c r="E18" s="185">
        <v>2</v>
      </c>
      <c r="F18" s="289">
        <v>2</v>
      </c>
      <c r="G18" s="294"/>
      <c r="H18" s="292"/>
      <c r="I18" s="273"/>
    </row>
    <row r="19" spans="1:9" ht="19.5" customHeight="1">
      <c r="A19" s="90">
        <v>8</v>
      </c>
      <c r="B19" s="186" t="s">
        <v>198</v>
      </c>
      <c r="C19" s="183" t="s">
        <v>178</v>
      </c>
      <c r="D19" s="191">
        <f t="shared" si="0"/>
        <v>83</v>
      </c>
      <c r="E19" s="185">
        <v>36</v>
      </c>
      <c r="F19" s="289">
        <v>47</v>
      </c>
      <c r="G19" s="294"/>
      <c r="H19" s="292"/>
      <c r="I19" s="273"/>
    </row>
    <row r="20" spans="1:9" ht="19.5" customHeight="1">
      <c r="A20" s="90">
        <v>9</v>
      </c>
      <c r="B20" s="186" t="s">
        <v>199</v>
      </c>
      <c r="C20" s="183" t="s">
        <v>178</v>
      </c>
      <c r="D20" s="191">
        <f t="shared" si="0"/>
        <v>1</v>
      </c>
      <c r="E20" s="185">
        <v>1</v>
      </c>
      <c r="F20" s="289"/>
      <c r="G20" s="294"/>
      <c r="H20" s="292"/>
      <c r="I20" s="273"/>
    </row>
    <row r="21" spans="1:9" ht="27" customHeight="1">
      <c r="A21" s="90">
        <v>10</v>
      </c>
      <c r="B21" s="91" t="s">
        <v>200</v>
      </c>
      <c r="C21" s="183" t="s">
        <v>178</v>
      </c>
      <c r="D21" s="191">
        <f t="shared" si="0"/>
        <v>9</v>
      </c>
      <c r="E21" s="185">
        <v>5</v>
      </c>
      <c r="F21" s="289">
        <v>4</v>
      </c>
      <c r="G21" s="294"/>
      <c r="H21" s="292"/>
      <c r="I21" s="273"/>
    </row>
    <row r="22" spans="1:9" ht="18.75" customHeight="1">
      <c r="A22" s="90">
        <v>11</v>
      </c>
      <c r="B22" s="186" t="s">
        <v>201</v>
      </c>
      <c r="C22" s="183" t="s">
        <v>178</v>
      </c>
      <c r="D22" s="191">
        <f t="shared" si="0"/>
        <v>3</v>
      </c>
      <c r="E22" s="185">
        <v>1</v>
      </c>
      <c r="F22" s="289">
        <v>2</v>
      </c>
      <c r="G22" s="294"/>
      <c r="H22" s="292"/>
      <c r="I22" s="273"/>
    </row>
    <row r="23" spans="1:9" ht="20.25" customHeight="1">
      <c r="A23" s="90">
        <v>12</v>
      </c>
      <c r="B23" s="186" t="s">
        <v>202</v>
      </c>
      <c r="C23" s="183" t="s">
        <v>178</v>
      </c>
      <c r="D23" s="191">
        <f t="shared" si="0"/>
        <v>15</v>
      </c>
      <c r="E23" s="185">
        <v>0</v>
      </c>
      <c r="F23" s="289">
        <v>15</v>
      </c>
      <c r="G23" s="294"/>
      <c r="H23" s="292"/>
      <c r="I23" s="273"/>
    </row>
    <row r="24" spans="1:9" ht="19.5" customHeight="1">
      <c r="A24" s="90">
        <v>13</v>
      </c>
      <c r="B24" s="186" t="s">
        <v>203</v>
      </c>
      <c r="C24" s="183" t="s">
        <v>178</v>
      </c>
      <c r="D24" s="191">
        <f t="shared" si="0"/>
        <v>2</v>
      </c>
      <c r="E24" s="185">
        <v>1</v>
      </c>
      <c r="F24" s="289">
        <v>1</v>
      </c>
      <c r="G24" s="294"/>
      <c r="H24" s="292"/>
      <c r="I24" s="273"/>
    </row>
    <row r="25" spans="1:9" ht="19.5" customHeight="1">
      <c r="A25" s="90">
        <v>14</v>
      </c>
      <c r="B25" s="186" t="s">
        <v>204</v>
      </c>
      <c r="C25" s="183" t="s">
        <v>178</v>
      </c>
      <c r="D25" s="191">
        <f t="shared" si="0"/>
        <v>0</v>
      </c>
      <c r="E25" s="185"/>
      <c r="F25" s="289"/>
      <c r="G25" s="294"/>
      <c r="H25" s="292"/>
      <c r="I25" s="273"/>
    </row>
    <row r="26" spans="1:9" ht="18.75" customHeight="1">
      <c r="A26" s="90">
        <v>15</v>
      </c>
      <c r="B26" s="186" t="s">
        <v>205</v>
      </c>
      <c r="C26" s="183" t="s">
        <v>178</v>
      </c>
      <c r="D26" s="191">
        <f t="shared" si="0"/>
        <v>2</v>
      </c>
      <c r="E26" s="185">
        <v>2</v>
      </c>
      <c r="F26" s="289"/>
      <c r="G26" s="294"/>
      <c r="H26" s="292"/>
      <c r="I26" s="273"/>
    </row>
    <row r="27" spans="1:9" ht="19.5" customHeight="1">
      <c r="A27" s="90">
        <v>16</v>
      </c>
      <c r="B27" s="186" t="s">
        <v>206</v>
      </c>
      <c r="C27" s="183" t="s">
        <v>178</v>
      </c>
      <c r="D27" s="191">
        <f t="shared" si="0"/>
        <v>33</v>
      </c>
      <c r="E27" s="185">
        <v>0</v>
      </c>
      <c r="F27" s="289">
        <v>33</v>
      </c>
      <c r="G27" s="294"/>
      <c r="H27" s="292"/>
      <c r="I27" s="292"/>
    </row>
    <row r="28" spans="1:9" ht="19.5" customHeight="1">
      <c r="A28" s="90">
        <v>17</v>
      </c>
      <c r="B28" s="186" t="s">
        <v>185</v>
      </c>
      <c r="C28" s="183" t="s">
        <v>178</v>
      </c>
      <c r="D28" s="191">
        <f t="shared" si="0"/>
        <v>4</v>
      </c>
      <c r="E28" s="185">
        <v>2</v>
      </c>
      <c r="F28" s="289">
        <v>2</v>
      </c>
      <c r="G28" s="294"/>
      <c r="H28" s="292"/>
      <c r="I28" s="273"/>
    </row>
    <row r="29" spans="1:9" ht="19.5" customHeight="1">
      <c r="A29" s="90">
        <v>18</v>
      </c>
      <c r="B29" s="186" t="s">
        <v>186</v>
      </c>
      <c r="C29" s="183" t="s">
        <v>178</v>
      </c>
      <c r="D29" s="191">
        <f t="shared" si="0"/>
        <v>3</v>
      </c>
      <c r="E29" s="185">
        <v>3</v>
      </c>
      <c r="F29" s="289"/>
      <c r="G29" s="294"/>
      <c r="H29" s="292"/>
      <c r="I29" s="273"/>
    </row>
    <row r="30" spans="1:9" ht="19.5" customHeight="1">
      <c r="A30" s="90">
        <v>19</v>
      </c>
      <c r="B30" s="186" t="s">
        <v>187</v>
      </c>
      <c r="C30" s="183" t="s">
        <v>178</v>
      </c>
      <c r="D30" s="191">
        <f t="shared" si="0"/>
        <v>2</v>
      </c>
      <c r="E30" s="185">
        <v>2</v>
      </c>
      <c r="F30" s="289"/>
      <c r="G30" s="294"/>
      <c r="H30" s="292"/>
      <c r="I30" s="273"/>
    </row>
    <row r="31" spans="1:9" ht="19.5" customHeight="1">
      <c r="A31" s="90">
        <v>20</v>
      </c>
      <c r="B31" s="186" t="s">
        <v>188</v>
      </c>
      <c r="C31" s="183" t="s">
        <v>178</v>
      </c>
      <c r="D31" s="191">
        <f t="shared" si="0"/>
        <v>3</v>
      </c>
      <c r="E31" s="185">
        <v>0</v>
      </c>
      <c r="F31" s="289">
        <v>3</v>
      </c>
      <c r="G31" s="294"/>
      <c r="H31" s="292"/>
      <c r="I31" s="273"/>
    </row>
    <row r="32" spans="1:9" ht="19.5" customHeight="1">
      <c r="A32" s="90">
        <v>21</v>
      </c>
      <c r="B32" s="186" t="s">
        <v>189</v>
      </c>
      <c r="C32" s="183" t="s">
        <v>178</v>
      </c>
      <c r="D32" s="191">
        <f t="shared" si="0"/>
        <v>0</v>
      </c>
      <c r="E32" s="185">
        <v>0</v>
      </c>
      <c r="F32" s="289"/>
      <c r="G32" s="294"/>
      <c r="H32" s="292"/>
      <c r="I32" s="292"/>
    </row>
    <row r="33" spans="1:9" ht="20.25" customHeight="1">
      <c r="A33" s="187"/>
      <c r="B33" s="188" t="s">
        <v>197</v>
      </c>
      <c r="C33" s="181" t="s">
        <v>178</v>
      </c>
      <c r="D33" s="189">
        <f>SUM(D12:D32)</f>
        <v>235</v>
      </c>
      <c r="E33" s="189">
        <f>SUM(E12:E32)</f>
        <v>94</v>
      </c>
      <c r="F33" s="290">
        <f>SUM(F12:F32)</f>
        <v>141</v>
      </c>
      <c r="G33" s="294"/>
      <c r="H33" s="292"/>
      <c r="I33" s="292"/>
    </row>
    <row r="34" spans="1:9" ht="19.5" customHeight="1">
      <c r="A34" s="186"/>
      <c r="B34" s="186"/>
      <c r="C34" s="259" t="s">
        <v>18</v>
      </c>
      <c r="D34" s="260"/>
      <c r="E34" s="261">
        <v>38.63636363636363</v>
      </c>
      <c r="F34" s="291">
        <f>F33/D33*100</f>
        <v>60</v>
      </c>
      <c r="G34" s="274"/>
      <c r="H34" s="273"/>
      <c r="I34" s="273"/>
    </row>
    <row r="35" spans="1:5" ht="12.75">
      <c r="A35" s="346" t="s">
        <v>150</v>
      </c>
      <c r="B35" s="346"/>
      <c r="C35" s="346"/>
      <c r="D35" s="346"/>
      <c r="E35" s="346"/>
    </row>
    <row r="36" spans="1:5" ht="15">
      <c r="A36" s="190"/>
      <c r="B36" s="190"/>
      <c r="C36" s="190"/>
      <c r="D36" s="190"/>
      <c r="E36" s="190"/>
    </row>
    <row r="37" spans="1:5" ht="15">
      <c r="A37" s="190"/>
      <c r="B37" s="190"/>
      <c r="C37" s="190"/>
      <c r="D37" s="190"/>
      <c r="E37" s="190"/>
    </row>
    <row r="38" spans="1:5" ht="12.75">
      <c r="A38" s="82"/>
      <c r="B38" s="82"/>
      <c r="C38" s="82"/>
      <c r="D38" s="82"/>
      <c r="E38" s="82"/>
    </row>
    <row r="39" spans="1:5" ht="12.75">
      <c r="A39" s="82"/>
      <c r="B39" s="82"/>
      <c r="C39" s="82"/>
      <c r="D39" s="82"/>
      <c r="E39" s="82"/>
    </row>
  </sheetData>
  <sheetProtection/>
  <mergeCells count="12">
    <mergeCell ref="A35:E35"/>
    <mergeCell ref="D9:F9"/>
    <mergeCell ref="A3:F3"/>
    <mergeCell ref="A4:F4"/>
    <mergeCell ref="A5:F5"/>
    <mergeCell ref="A6:F6"/>
    <mergeCell ref="A1:B1"/>
    <mergeCell ref="A8:A10"/>
    <mergeCell ref="B8:B10"/>
    <mergeCell ref="C8:C10"/>
    <mergeCell ref="D8:F8"/>
    <mergeCell ref="D11:F11"/>
  </mergeCells>
  <printOptions horizontalCentered="1"/>
  <pageMargins left="0.7874015748031497" right="0.2362204724409449" top="0.35433070866141736" bottom="0.35433070866141736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90" zoomScaleNormal="90" zoomScalePageLayoutView="0" workbookViewId="0" topLeftCell="A16">
      <selection activeCell="C42" sqref="C42"/>
    </sheetView>
  </sheetViews>
  <sheetFormatPr defaultColWidth="9.00390625" defaultRowHeight="12.75"/>
  <cols>
    <col min="1" max="1" width="5.125" style="81" customWidth="1"/>
    <col min="2" max="2" width="40.00390625" style="81" customWidth="1"/>
    <col min="3" max="3" width="8.125" style="81" customWidth="1"/>
    <col min="4" max="4" width="7.75390625" style="81" customWidth="1"/>
    <col min="5" max="5" width="7.00390625" style="81" customWidth="1"/>
    <col min="6" max="6" width="7.375" style="81" customWidth="1"/>
    <col min="7" max="14" width="5.125" style="81" customWidth="1"/>
    <col min="15" max="16384" width="9.125" style="81" customWidth="1"/>
  </cols>
  <sheetData>
    <row r="1" spans="1:6" ht="12.75">
      <c r="A1" s="350" t="s">
        <v>119</v>
      </c>
      <c r="B1" s="350"/>
      <c r="C1" s="146"/>
      <c r="D1" s="146"/>
      <c r="E1" s="146"/>
      <c r="F1" s="146"/>
    </row>
    <row r="2" spans="1:6" ht="12.75" customHeight="1">
      <c r="A2" s="149" t="s">
        <v>82</v>
      </c>
      <c r="B2" s="209">
        <f>'9.Департамент'!E3</f>
        <v>40962</v>
      </c>
      <c r="C2" s="146"/>
      <c r="D2" s="146"/>
      <c r="E2" s="146"/>
      <c r="F2" s="146"/>
    </row>
    <row r="3" spans="1:6" ht="12.75">
      <c r="A3" s="351"/>
      <c r="B3" s="351"/>
      <c r="C3" s="146"/>
      <c r="D3" s="146"/>
      <c r="E3" s="146"/>
      <c r="F3" s="146"/>
    </row>
    <row r="4" spans="1:14" ht="12.75">
      <c r="A4" s="357" t="s">
        <v>151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</row>
    <row r="5" spans="1:14" ht="12.75">
      <c r="A5" s="357" t="s">
        <v>152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</row>
    <row r="6" spans="1:14" ht="12.75">
      <c r="A6" s="358" t="s">
        <v>120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</row>
    <row r="7" spans="1:14" ht="12.75">
      <c r="A7" s="358" t="s">
        <v>121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</row>
    <row r="8" spans="1:6" ht="12.75">
      <c r="A8" s="155"/>
      <c r="B8" s="155"/>
      <c r="C8" s="155"/>
      <c r="D8" s="155"/>
      <c r="E8" s="155"/>
      <c r="F8" s="155"/>
    </row>
    <row r="9" spans="1:14" ht="12.75" customHeight="1">
      <c r="A9" s="352" t="s">
        <v>90</v>
      </c>
      <c r="B9" s="352" t="s">
        <v>122</v>
      </c>
      <c r="C9" s="355" t="s">
        <v>278</v>
      </c>
      <c r="D9" s="356"/>
      <c r="E9" s="356"/>
      <c r="F9" s="356"/>
      <c r="G9" s="353"/>
      <c r="H9" s="354"/>
      <c r="I9" s="354"/>
      <c r="J9" s="354"/>
      <c r="K9" s="354"/>
      <c r="L9" s="354"/>
      <c r="M9" s="354"/>
      <c r="N9" s="354"/>
    </row>
    <row r="10" spans="1:16" ht="84" customHeight="1">
      <c r="A10" s="352"/>
      <c r="B10" s="352"/>
      <c r="C10" s="263" t="s">
        <v>123</v>
      </c>
      <c r="D10" s="263" t="s">
        <v>124</v>
      </c>
      <c r="E10" s="263" t="s">
        <v>125</v>
      </c>
      <c r="F10" s="262" t="s">
        <v>126</v>
      </c>
      <c r="G10" s="274"/>
      <c r="H10" s="273"/>
      <c r="I10" s="273"/>
      <c r="J10" s="273"/>
      <c r="P10" s="273"/>
    </row>
    <row r="11" spans="1:10" ht="12.75">
      <c r="A11" s="157">
        <v>1</v>
      </c>
      <c r="B11" s="158" t="s">
        <v>127</v>
      </c>
      <c r="C11" s="159">
        <f>D11+E11+F11</f>
        <v>50</v>
      </c>
      <c r="D11" s="160">
        <v>14</v>
      </c>
      <c r="E11" s="160">
        <v>1</v>
      </c>
      <c r="F11" s="264">
        <v>35</v>
      </c>
      <c r="G11" s="274"/>
      <c r="H11" s="273"/>
      <c r="I11" s="273"/>
      <c r="J11" s="273"/>
    </row>
    <row r="12" spans="1:10" ht="12.75">
      <c r="A12" s="157">
        <v>2</v>
      </c>
      <c r="B12" s="161" t="s">
        <v>128</v>
      </c>
      <c r="C12" s="159">
        <f aca="true" t="shared" si="0" ref="C12:C36">D12+E12+F12</f>
        <v>48</v>
      </c>
      <c r="D12" s="160">
        <v>1</v>
      </c>
      <c r="E12" s="160">
        <v>5</v>
      </c>
      <c r="F12" s="264">
        <v>42</v>
      </c>
      <c r="G12" s="274"/>
      <c r="H12" s="273"/>
      <c r="I12" s="273"/>
      <c r="J12" s="273"/>
    </row>
    <row r="13" spans="1:10" ht="15" customHeight="1">
      <c r="A13" s="157">
        <v>3</v>
      </c>
      <c r="B13" s="162" t="s">
        <v>155</v>
      </c>
      <c r="C13" s="159">
        <f t="shared" si="0"/>
        <v>24</v>
      </c>
      <c r="D13" s="160">
        <v>2</v>
      </c>
      <c r="E13" s="160">
        <v>2</v>
      </c>
      <c r="F13" s="264">
        <v>20</v>
      </c>
      <c r="G13" s="274"/>
      <c r="H13" s="273"/>
      <c r="I13" s="273"/>
      <c r="J13" s="273"/>
    </row>
    <row r="14" spans="1:10" ht="24" customHeight="1">
      <c r="A14" s="157">
        <v>4</v>
      </c>
      <c r="B14" s="163" t="s">
        <v>154</v>
      </c>
      <c r="C14" s="159">
        <f t="shared" si="0"/>
        <v>4</v>
      </c>
      <c r="D14" s="160"/>
      <c r="E14" s="160"/>
      <c r="F14" s="264">
        <v>4</v>
      </c>
      <c r="G14" s="274"/>
      <c r="H14" s="273"/>
      <c r="I14" s="273"/>
      <c r="J14" s="273"/>
    </row>
    <row r="15" spans="1:10" ht="25.5" customHeight="1">
      <c r="A15" s="157">
        <v>5</v>
      </c>
      <c r="B15" s="164" t="s">
        <v>153</v>
      </c>
      <c r="C15" s="216">
        <f t="shared" si="0"/>
        <v>104</v>
      </c>
      <c r="D15" s="160"/>
      <c r="E15" s="160">
        <f>SUM(E16:E18)</f>
        <v>0</v>
      </c>
      <c r="F15" s="265">
        <f>SUM(F16:F18)</f>
        <v>104</v>
      </c>
      <c r="G15" s="274"/>
      <c r="H15" s="273"/>
      <c r="I15" s="273"/>
      <c r="J15" s="273"/>
    </row>
    <row r="16" spans="1:10" ht="12.75" customHeight="1">
      <c r="A16" s="156" t="s">
        <v>134</v>
      </c>
      <c r="B16" s="137" t="s">
        <v>129</v>
      </c>
      <c r="C16" s="165">
        <f t="shared" si="0"/>
        <v>26</v>
      </c>
      <c r="D16" s="166"/>
      <c r="E16" s="166">
        <f>'[1]Прил 4 (2)'!E14</f>
        <v>0</v>
      </c>
      <c r="F16" s="266">
        <v>26</v>
      </c>
      <c r="G16" s="274"/>
      <c r="H16" s="273"/>
      <c r="I16" s="273"/>
      <c r="J16" s="273"/>
    </row>
    <row r="17" spans="1:10" ht="12.75" customHeight="1">
      <c r="A17" s="156" t="s">
        <v>135</v>
      </c>
      <c r="B17" s="137" t="s">
        <v>130</v>
      </c>
      <c r="C17" s="165">
        <f t="shared" si="0"/>
        <v>61</v>
      </c>
      <c r="D17" s="166"/>
      <c r="E17" s="166">
        <f>'[1]Прил 4 (2)'!E15</f>
        <v>0</v>
      </c>
      <c r="F17" s="266">
        <v>61</v>
      </c>
      <c r="G17" s="274"/>
      <c r="H17" s="273"/>
      <c r="I17" s="273"/>
      <c r="J17" s="273"/>
    </row>
    <row r="18" spans="1:10" ht="12.75" customHeight="1">
      <c r="A18" s="156" t="s">
        <v>157</v>
      </c>
      <c r="B18" s="137" t="s">
        <v>131</v>
      </c>
      <c r="C18" s="165">
        <f t="shared" si="0"/>
        <v>17</v>
      </c>
      <c r="D18" s="166"/>
      <c r="E18" s="166">
        <f>'[1]Прил 4 (2)'!E16</f>
        <v>0</v>
      </c>
      <c r="F18" s="266">
        <v>17</v>
      </c>
      <c r="G18" s="274"/>
      <c r="H18" s="273"/>
      <c r="I18" s="273"/>
      <c r="J18" s="273"/>
    </row>
    <row r="19" spans="1:10" ht="12.75" customHeight="1">
      <c r="A19" s="157">
        <v>6</v>
      </c>
      <c r="B19" s="161" t="s">
        <v>132</v>
      </c>
      <c r="C19" s="159">
        <f t="shared" si="0"/>
        <v>28</v>
      </c>
      <c r="D19" s="160"/>
      <c r="E19" s="160">
        <v>11</v>
      </c>
      <c r="F19" s="264">
        <v>17</v>
      </c>
      <c r="G19" s="274"/>
      <c r="H19" s="273"/>
      <c r="I19" s="273"/>
      <c r="J19" s="273"/>
    </row>
    <row r="20" spans="1:10" ht="12.75" customHeight="1">
      <c r="A20" s="167">
        <v>7</v>
      </c>
      <c r="B20" s="158" t="s">
        <v>133</v>
      </c>
      <c r="C20" s="216">
        <f t="shared" si="0"/>
        <v>124</v>
      </c>
      <c r="D20" s="159"/>
      <c r="E20" s="267">
        <f>E21+E22+E23</f>
        <v>1</v>
      </c>
      <c r="F20" s="267">
        <f>F21+F22+F23</f>
        <v>123</v>
      </c>
      <c r="G20" s="274"/>
      <c r="H20" s="273"/>
      <c r="I20" s="273"/>
      <c r="J20" s="273"/>
    </row>
    <row r="21" spans="1:10" ht="12.75" customHeight="1">
      <c r="A21" s="156" t="s">
        <v>158</v>
      </c>
      <c r="B21" s="137" t="s">
        <v>167</v>
      </c>
      <c r="C21" s="165">
        <f t="shared" si="0"/>
        <v>93</v>
      </c>
      <c r="D21" s="166"/>
      <c r="E21" s="166">
        <v>0</v>
      </c>
      <c r="F21" s="266">
        <v>93</v>
      </c>
      <c r="G21" s="274"/>
      <c r="H21" s="273"/>
      <c r="I21" s="273"/>
      <c r="J21" s="273"/>
    </row>
    <row r="22" spans="1:10" ht="12.75" customHeight="1">
      <c r="A22" s="156" t="s">
        <v>159</v>
      </c>
      <c r="B22" s="137" t="s">
        <v>168</v>
      </c>
      <c r="C22" s="165">
        <f t="shared" si="0"/>
        <v>28</v>
      </c>
      <c r="D22" s="166"/>
      <c r="E22" s="166">
        <v>1</v>
      </c>
      <c r="F22" s="266">
        <v>27</v>
      </c>
      <c r="G22" s="274"/>
      <c r="H22" s="273"/>
      <c r="I22" s="273"/>
      <c r="J22" s="273"/>
    </row>
    <row r="23" spans="1:10" ht="12.75" customHeight="1">
      <c r="A23" s="156">
        <v>7.3</v>
      </c>
      <c r="B23" s="137" t="s">
        <v>250</v>
      </c>
      <c r="C23" s="165">
        <f t="shared" si="0"/>
        <v>3</v>
      </c>
      <c r="D23" s="166"/>
      <c r="E23" s="166">
        <v>0</v>
      </c>
      <c r="F23" s="266">
        <v>3</v>
      </c>
      <c r="G23" s="274"/>
      <c r="H23" s="273"/>
      <c r="I23" s="273"/>
      <c r="J23" s="273"/>
    </row>
    <row r="24" spans="1:10" ht="12.75" customHeight="1">
      <c r="A24" s="157">
        <v>8</v>
      </c>
      <c r="B24" s="168" t="s">
        <v>156</v>
      </c>
      <c r="C24" s="216">
        <f t="shared" si="0"/>
        <v>25</v>
      </c>
      <c r="D24" s="159"/>
      <c r="E24" s="159">
        <f>SUM(E25:E31)</f>
        <v>1</v>
      </c>
      <c r="F24" s="267">
        <f>SUM(F25:F32)</f>
        <v>24</v>
      </c>
      <c r="G24" s="274"/>
      <c r="H24" s="273"/>
      <c r="I24" s="273"/>
      <c r="J24" s="273"/>
    </row>
    <row r="25" spans="1:10" ht="12.75" customHeight="1">
      <c r="A25" s="178" t="s">
        <v>160</v>
      </c>
      <c r="B25" s="137" t="s">
        <v>136</v>
      </c>
      <c r="C25" s="165">
        <f t="shared" si="0"/>
        <v>1</v>
      </c>
      <c r="D25" s="166"/>
      <c r="E25" s="166"/>
      <c r="F25" s="266">
        <v>1</v>
      </c>
      <c r="G25" s="274"/>
      <c r="H25" s="273"/>
      <c r="I25" s="273"/>
      <c r="J25" s="273"/>
    </row>
    <row r="26" spans="1:10" ht="12.75" customHeight="1">
      <c r="A26" s="178" t="s">
        <v>161</v>
      </c>
      <c r="B26" s="137" t="s">
        <v>137</v>
      </c>
      <c r="C26" s="165">
        <f t="shared" si="0"/>
        <v>2</v>
      </c>
      <c r="D26" s="166"/>
      <c r="E26" s="166"/>
      <c r="F26" s="266">
        <v>2</v>
      </c>
      <c r="G26" s="274"/>
      <c r="H26" s="273"/>
      <c r="I26" s="273"/>
      <c r="J26" s="273"/>
    </row>
    <row r="27" spans="1:10" ht="12.75" customHeight="1">
      <c r="A27" s="178" t="s">
        <v>162</v>
      </c>
      <c r="B27" s="137" t="s">
        <v>138</v>
      </c>
      <c r="C27" s="165">
        <f t="shared" si="0"/>
        <v>10</v>
      </c>
      <c r="D27" s="166"/>
      <c r="E27" s="166"/>
      <c r="F27" s="266">
        <v>10</v>
      </c>
      <c r="G27" s="274"/>
      <c r="H27" s="273"/>
      <c r="I27" s="273"/>
      <c r="J27" s="273"/>
    </row>
    <row r="28" spans="1:10" ht="12.75" customHeight="1">
      <c r="A28" s="178" t="s">
        <v>163</v>
      </c>
      <c r="B28" s="137" t="s">
        <v>139</v>
      </c>
      <c r="C28" s="165">
        <f t="shared" si="0"/>
        <v>0</v>
      </c>
      <c r="D28" s="166"/>
      <c r="E28" s="166"/>
      <c r="F28" s="266">
        <v>0</v>
      </c>
      <c r="G28" s="274"/>
      <c r="H28" s="273"/>
      <c r="I28" s="273"/>
      <c r="J28" s="273"/>
    </row>
    <row r="29" spans="1:10" ht="12.75" customHeight="1">
      <c r="A29" s="178" t="s">
        <v>164</v>
      </c>
      <c r="B29" s="137" t="s">
        <v>140</v>
      </c>
      <c r="C29" s="165">
        <f t="shared" si="0"/>
        <v>2</v>
      </c>
      <c r="D29" s="166"/>
      <c r="E29" s="166"/>
      <c r="F29" s="266">
        <v>2</v>
      </c>
      <c r="G29" s="274"/>
      <c r="H29" s="273"/>
      <c r="I29" s="273"/>
      <c r="J29" s="273"/>
    </row>
    <row r="30" spans="1:10" ht="12.75" customHeight="1">
      <c r="A30" s="178" t="s">
        <v>165</v>
      </c>
      <c r="B30" s="137" t="s">
        <v>141</v>
      </c>
      <c r="C30" s="165">
        <f t="shared" si="0"/>
        <v>7</v>
      </c>
      <c r="D30" s="166"/>
      <c r="E30" s="166">
        <v>1</v>
      </c>
      <c r="F30" s="266">
        <v>6</v>
      </c>
      <c r="G30" s="274"/>
      <c r="H30" s="273"/>
      <c r="I30" s="273"/>
      <c r="J30" s="273"/>
    </row>
    <row r="31" spans="1:10" ht="12.75" customHeight="1">
      <c r="A31" s="178" t="s">
        <v>166</v>
      </c>
      <c r="B31" s="137" t="s">
        <v>142</v>
      </c>
      <c r="C31" s="165">
        <f t="shared" si="0"/>
        <v>3</v>
      </c>
      <c r="D31" s="166"/>
      <c r="E31" s="166"/>
      <c r="F31" s="266">
        <v>3</v>
      </c>
      <c r="G31" s="274"/>
      <c r="H31" s="273"/>
      <c r="I31" s="273"/>
      <c r="J31" s="273"/>
    </row>
    <row r="32" spans="1:10" ht="12.75" customHeight="1">
      <c r="A32" s="178" t="s">
        <v>251</v>
      </c>
      <c r="B32" s="137" t="s">
        <v>252</v>
      </c>
      <c r="C32" s="165">
        <f t="shared" si="0"/>
        <v>0</v>
      </c>
      <c r="D32" s="166"/>
      <c r="E32" s="166"/>
      <c r="F32" s="266">
        <v>0</v>
      </c>
      <c r="G32" s="274"/>
      <c r="H32" s="273"/>
      <c r="I32" s="273"/>
      <c r="J32" s="273"/>
    </row>
    <row r="33" spans="1:10" ht="12.75" customHeight="1">
      <c r="A33" s="157">
        <v>9</v>
      </c>
      <c r="B33" s="161" t="s">
        <v>143</v>
      </c>
      <c r="C33" s="159">
        <f t="shared" si="0"/>
        <v>167</v>
      </c>
      <c r="D33" s="160"/>
      <c r="E33" s="160">
        <v>1</v>
      </c>
      <c r="F33" s="264">
        <v>166</v>
      </c>
      <c r="G33" s="274"/>
      <c r="H33" s="273"/>
      <c r="I33" s="273"/>
      <c r="J33" s="273"/>
    </row>
    <row r="34" spans="1:10" ht="12.75" customHeight="1">
      <c r="A34" s="157">
        <v>10</v>
      </c>
      <c r="B34" s="161" t="s">
        <v>144</v>
      </c>
      <c r="C34" s="159">
        <f t="shared" si="0"/>
        <v>32</v>
      </c>
      <c r="D34" s="159"/>
      <c r="E34" s="159">
        <f>E35</f>
        <v>0</v>
      </c>
      <c r="F34" s="268">
        <v>32</v>
      </c>
      <c r="G34" s="274"/>
      <c r="H34" s="273"/>
      <c r="I34" s="273"/>
      <c r="J34" s="273"/>
    </row>
    <row r="35" spans="1:10" ht="12.75" customHeight="1">
      <c r="A35" s="156" t="s">
        <v>169</v>
      </c>
      <c r="B35" s="137" t="s">
        <v>145</v>
      </c>
      <c r="C35" s="165">
        <f t="shared" si="0"/>
        <v>32</v>
      </c>
      <c r="D35" s="166"/>
      <c r="E35" s="166">
        <f>'[1]Прил 4 (2)'!E30</f>
        <v>0</v>
      </c>
      <c r="F35" s="266">
        <v>32</v>
      </c>
      <c r="G35" s="274"/>
      <c r="H35" s="273"/>
      <c r="I35" s="273"/>
      <c r="J35" s="273"/>
    </row>
    <row r="36" spans="1:10" ht="12.75" customHeight="1">
      <c r="A36" s="157" t="s">
        <v>170</v>
      </c>
      <c r="B36" s="161" t="s">
        <v>146</v>
      </c>
      <c r="C36" s="159">
        <f t="shared" si="0"/>
        <v>13</v>
      </c>
      <c r="D36" s="160"/>
      <c r="E36" s="160"/>
      <c r="F36" s="269">
        <f>'[1]Прил 4 (2)'!F31</f>
        <v>13</v>
      </c>
      <c r="G36" s="274"/>
      <c r="H36" s="273"/>
      <c r="I36" s="273"/>
      <c r="J36" s="273"/>
    </row>
    <row r="37" spans="1:10" ht="12.75" customHeight="1">
      <c r="A37" s="156"/>
      <c r="B37" s="169" t="s">
        <v>147</v>
      </c>
      <c r="C37" s="165">
        <f>D37+E37+F37</f>
        <v>606</v>
      </c>
      <c r="D37" s="170">
        <f>D11+D12+D13+D14+D15+D19+D20+D24+D33+D34+D36</f>
        <v>17</v>
      </c>
      <c r="E37" s="170">
        <f>E11+E12+E13+E15+E19+E20+E24+E33+E34+E36</f>
        <v>22</v>
      </c>
      <c r="F37" s="270">
        <f>F11+F12+F13+F14+F15+F19+F20+F24+F33+F34</f>
        <v>567</v>
      </c>
      <c r="G37" s="274"/>
      <c r="H37" s="273"/>
      <c r="I37" s="273"/>
      <c r="J37" s="273"/>
    </row>
    <row r="38" spans="1:10" ht="12.75" customHeight="1">
      <c r="A38" s="157">
        <v>11</v>
      </c>
      <c r="B38" s="161" t="s">
        <v>148</v>
      </c>
      <c r="C38" s="159">
        <f>D38+E38+F38</f>
        <v>13</v>
      </c>
      <c r="D38" s="160">
        <v>2</v>
      </c>
      <c r="E38" s="160">
        <v>7</v>
      </c>
      <c r="F38" s="264">
        <v>4</v>
      </c>
      <c r="G38" s="274"/>
      <c r="H38" s="273"/>
      <c r="I38" s="273"/>
      <c r="J38" s="273"/>
    </row>
    <row r="39" spans="1:10" ht="12.75" customHeight="1">
      <c r="A39" s="156"/>
      <c r="B39" s="156" t="s">
        <v>149</v>
      </c>
      <c r="C39" s="217">
        <f>C37+C38</f>
        <v>619</v>
      </c>
      <c r="D39" s="170">
        <f>D38+D37</f>
        <v>19</v>
      </c>
      <c r="E39" s="170">
        <f>E37+E38</f>
        <v>29</v>
      </c>
      <c r="F39" s="270">
        <f>F37+F38</f>
        <v>571</v>
      </c>
      <c r="G39" s="274"/>
      <c r="H39" s="273"/>
      <c r="I39" s="273"/>
      <c r="J39" s="273"/>
    </row>
    <row r="40" spans="1:10" ht="69.75" customHeight="1">
      <c r="A40" s="171">
        <v>12</v>
      </c>
      <c r="B40" s="156" t="s">
        <v>171</v>
      </c>
      <c r="C40" s="170">
        <f>D40+E40+F40</f>
        <v>226.29999999999998</v>
      </c>
      <c r="D40" s="156"/>
      <c r="E40" s="156"/>
      <c r="F40" s="271">
        <f>'[1]Прил 4 (2)'!F35</f>
        <v>226.29999999999998</v>
      </c>
      <c r="G40" s="274"/>
      <c r="H40" s="273"/>
      <c r="I40" s="273"/>
      <c r="J40" s="273"/>
    </row>
    <row r="41" spans="1:14" ht="12.75">
      <c r="A41" s="171"/>
      <c r="B41" s="156" t="s">
        <v>147</v>
      </c>
      <c r="C41" s="218">
        <f>C39+C40</f>
        <v>845.3</v>
      </c>
      <c r="D41" s="172">
        <f>D39</f>
        <v>19</v>
      </c>
      <c r="E41" s="172">
        <f>E39+E40</f>
        <v>29</v>
      </c>
      <c r="F41" s="272">
        <f>F39+F40</f>
        <v>797.3</v>
      </c>
      <c r="G41" s="274"/>
      <c r="H41" s="273"/>
      <c r="I41" s="273"/>
      <c r="J41" s="273"/>
      <c r="K41" s="273"/>
      <c r="L41" s="273"/>
      <c r="M41" s="273"/>
      <c r="N41" s="273"/>
    </row>
    <row r="42" spans="1:6" ht="12.75">
      <c r="A42" s="155"/>
      <c r="B42" s="155"/>
      <c r="C42" s="173"/>
      <c r="D42" s="155"/>
      <c r="E42" s="155"/>
      <c r="F42" s="173"/>
    </row>
    <row r="43" spans="1:6" ht="12.75">
      <c r="A43" s="174" t="s">
        <v>150</v>
      </c>
      <c r="B43" s="174"/>
      <c r="C43" s="174"/>
      <c r="D43" s="174"/>
      <c r="E43" s="174"/>
      <c r="F43" s="174"/>
    </row>
    <row r="44" spans="1:6" ht="15">
      <c r="A44" s="175"/>
      <c r="B44" s="175"/>
      <c r="C44" s="175"/>
      <c r="D44" s="175"/>
      <c r="E44" s="176"/>
      <c r="F44" s="175"/>
    </row>
    <row r="45" spans="1:6" ht="12.75">
      <c r="A45" s="349"/>
      <c r="B45" s="349"/>
      <c r="C45" s="349"/>
      <c r="D45" s="349"/>
      <c r="E45" s="349"/>
      <c r="F45" s="349"/>
    </row>
  </sheetData>
  <sheetProtection/>
  <mergeCells count="12">
    <mergeCell ref="K9:N9"/>
    <mergeCell ref="C9:F9"/>
    <mergeCell ref="A4:N4"/>
    <mergeCell ref="A5:N5"/>
    <mergeCell ref="A6:N6"/>
    <mergeCell ref="A7:N7"/>
    <mergeCell ref="A45:F45"/>
    <mergeCell ref="A1:B1"/>
    <mergeCell ref="A3:B3"/>
    <mergeCell ref="A9:A10"/>
    <mergeCell ref="B9:B10"/>
    <mergeCell ref="G9:J9"/>
  </mergeCells>
  <printOptions horizontalCentered="1"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6"/>
  <sheetViews>
    <sheetView zoomScalePageLayoutView="0" workbookViewId="0" topLeftCell="A7">
      <selection activeCell="F15" sqref="F15"/>
    </sheetView>
  </sheetViews>
  <sheetFormatPr defaultColWidth="9.00390625" defaultRowHeight="12.75"/>
  <cols>
    <col min="1" max="1" width="4.125" style="81" customWidth="1"/>
    <col min="2" max="2" width="31.00390625" style="81" customWidth="1"/>
    <col min="3" max="3" width="7.125" style="81" customWidth="1"/>
    <col min="4" max="4" width="12.00390625" style="81" customWidth="1"/>
    <col min="5" max="5" width="11.875" style="81" customWidth="1"/>
    <col min="6" max="6" width="11.00390625" style="81" customWidth="1"/>
    <col min="7" max="7" width="8.375" style="81" customWidth="1"/>
    <col min="8" max="16384" width="9.125" style="81" customWidth="1"/>
  </cols>
  <sheetData>
    <row r="1" spans="1:10" ht="12.75">
      <c r="A1" s="333" t="s">
        <v>87</v>
      </c>
      <c r="B1" s="333"/>
      <c r="C1" s="82"/>
      <c r="D1" s="82"/>
      <c r="E1" s="82"/>
      <c r="F1" s="82"/>
      <c r="G1" s="82"/>
      <c r="H1" s="82"/>
      <c r="I1" s="82"/>
      <c r="J1" s="82"/>
    </row>
    <row r="2" spans="1:10" ht="12.7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2.75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2.75">
      <c r="A4" s="324" t="s">
        <v>88</v>
      </c>
      <c r="B4" s="324"/>
      <c r="C4" s="324"/>
      <c r="D4" s="324"/>
      <c r="E4" s="324"/>
      <c r="F4" s="324"/>
      <c r="G4" s="324"/>
      <c r="H4" s="82"/>
      <c r="I4" s="82"/>
      <c r="J4" s="82"/>
    </row>
    <row r="5" spans="1:10" ht="12.75">
      <c r="A5" s="324" t="s">
        <v>89</v>
      </c>
      <c r="B5" s="324"/>
      <c r="C5" s="324"/>
      <c r="D5" s="324"/>
      <c r="E5" s="324"/>
      <c r="F5" s="324"/>
      <c r="G5" s="324"/>
      <c r="H5" s="82"/>
      <c r="I5" s="82"/>
      <c r="J5" s="82"/>
    </row>
    <row r="6" spans="1:10" ht="12.75">
      <c r="A6" s="127"/>
      <c r="B6" s="127"/>
      <c r="C6" s="127"/>
      <c r="D6" s="127"/>
      <c r="E6" s="149" t="s">
        <v>82</v>
      </c>
      <c r="F6" s="359">
        <f>'9.Департамент'!E3</f>
        <v>40962</v>
      </c>
      <c r="G6" s="360"/>
      <c r="H6" s="82"/>
      <c r="I6" s="82"/>
      <c r="J6" s="82"/>
    </row>
    <row r="7" spans="1:10" ht="12.7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28.5" customHeight="1">
      <c r="A8" s="340" t="s">
        <v>90</v>
      </c>
      <c r="B8" s="340" t="s">
        <v>91</v>
      </c>
      <c r="C8" s="340" t="s">
        <v>92</v>
      </c>
      <c r="D8" s="340" t="s">
        <v>93</v>
      </c>
      <c r="E8" s="361"/>
      <c r="F8" s="361"/>
      <c r="G8" s="361"/>
      <c r="H8" s="82"/>
      <c r="I8" s="82"/>
      <c r="J8" s="82"/>
    </row>
    <row r="9" spans="1:10" ht="81.75" customHeight="1">
      <c r="A9" s="340"/>
      <c r="B9" s="340"/>
      <c r="C9" s="340"/>
      <c r="D9" s="92" t="s">
        <v>94</v>
      </c>
      <c r="E9" s="92" t="s">
        <v>311</v>
      </c>
      <c r="F9" s="92" t="s">
        <v>110</v>
      </c>
      <c r="G9" s="92" t="s">
        <v>18</v>
      </c>
      <c r="H9" s="82"/>
      <c r="I9" s="82"/>
      <c r="J9" s="82"/>
    </row>
    <row r="10" spans="1:11" ht="27.75" customHeight="1">
      <c r="A10" s="128">
        <v>1</v>
      </c>
      <c r="B10" s="129" t="s">
        <v>95</v>
      </c>
      <c r="C10" s="130" t="s">
        <v>111</v>
      </c>
      <c r="D10" s="230">
        <f>SUM(D11:D13)</f>
        <v>634.6278571428572</v>
      </c>
      <c r="E10" s="230">
        <f>SUM(E11:E13)</f>
        <v>356.1514285714286</v>
      </c>
      <c r="F10" s="230">
        <f>SUM(F11:F13)</f>
        <v>100.69</v>
      </c>
      <c r="G10" s="132">
        <f>F10/E10*100</f>
        <v>28.271682189758767</v>
      </c>
      <c r="H10" s="133" t="s">
        <v>96</v>
      </c>
      <c r="I10" s="134"/>
      <c r="J10" s="135"/>
      <c r="K10" s="136"/>
    </row>
    <row r="11" spans="1:11" ht="30" customHeight="1">
      <c r="A11" s="95"/>
      <c r="B11" s="137" t="s">
        <v>97</v>
      </c>
      <c r="C11" s="130" t="s">
        <v>111</v>
      </c>
      <c r="D11" s="231">
        <f>470269/H11/1000</f>
        <v>335.9064285714286</v>
      </c>
      <c r="E11" s="231">
        <f>291993/H11/1000</f>
        <v>208.5664285714286</v>
      </c>
      <c r="F11" s="105">
        <v>66.44</v>
      </c>
      <c r="G11" s="132">
        <f>F11/E11*100</f>
        <v>31.85555818118927</v>
      </c>
      <c r="H11" s="139">
        <v>1.4</v>
      </c>
      <c r="I11" s="134"/>
      <c r="J11" s="134"/>
      <c r="K11" s="134"/>
    </row>
    <row r="12" spans="1:11" ht="27.75" customHeight="1">
      <c r="A12" s="95"/>
      <c r="B12" s="137" t="s">
        <v>118</v>
      </c>
      <c r="C12" s="130" t="s">
        <v>111</v>
      </c>
      <c r="D12" s="138">
        <v>0</v>
      </c>
      <c r="E12" s="138">
        <v>0</v>
      </c>
      <c r="F12" s="138">
        <v>0</v>
      </c>
      <c r="G12" s="132"/>
      <c r="H12" s="139"/>
      <c r="I12" s="134"/>
      <c r="J12" s="134"/>
      <c r="K12" s="134"/>
    </row>
    <row r="13" spans="1:11" ht="42" customHeight="1">
      <c r="A13" s="95"/>
      <c r="B13" s="140" t="s">
        <v>98</v>
      </c>
      <c r="C13" s="130" t="s">
        <v>111</v>
      </c>
      <c r="D13" s="231">
        <f>418210/H13/1000</f>
        <v>298.7214285714286</v>
      </c>
      <c r="E13" s="231">
        <f>206619/H13/1000</f>
        <v>147.585</v>
      </c>
      <c r="F13" s="105">
        <v>34.25</v>
      </c>
      <c r="G13" s="132">
        <f>F13/E13*100</f>
        <v>23.206965477521425</v>
      </c>
      <c r="H13" s="139">
        <v>1.4</v>
      </c>
      <c r="I13" s="141"/>
      <c r="J13" s="141"/>
      <c r="K13" s="141"/>
    </row>
    <row r="14" spans="1:7" ht="27" customHeight="1">
      <c r="A14" s="128">
        <v>2</v>
      </c>
      <c r="B14" s="142" t="s">
        <v>99</v>
      </c>
      <c r="C14" s="130" t="s">
        <v>112</v>
      </c>
      <c r="D14" s="230">
        <f>D15+D16</f>
        <v>233.927</v>
      </c>
      <c r="E14" s="230">
        <f>E15+E16</f>
        <v>128.959</v>
      </c>
      <c r="F14" s="230">
        <f>F15+F16</f>
        <v>87.33840000000001</v>
      </c>
      <c r="G14" s="132">
        <f>F14/E14*100</f>
        <v>67.72571127257501</v>
      </c>
    </row>
    <row r="15" spans="1:8" ht="28.5" customHeight="1">
      <c r="A15" s="95"/>
      <c r="B15" s="137" t="s">
        <v>100</v>
      </c>
      <c r="C15" s="130" t="s">
        <v>112</v>
      </c>
      <c r="D15" s="231">
        <v>233.927</v>
      </c>
      <c r="E15" s="231">
        <v>128.959</v>
      </c>
      <c r="F15" s="315">
        <f>57.84*H15</f>
        <v>87.33840000000001</v>
      </c>
      <c r="G15" s="132">
        <f>F15/E15*100</f>
        <v>67.72571127257501</v>
      </c>
      <c r="H15" s="139">
        <v>1.51</v>
      </c>
    </row>
    <row r="16" spans="1:7" ht="41.25" customHeight="1">
      <c r="A16" s="95"/>
      <c r="B16" s="140" t="s">
        <v>101</v>
      </c>
      <c r="C16" s="130" t="s">
        <v>112</v>
      </c>
      <c r="D16" s="138">
        <v>0</v>
      </c>
      <c r="E16" s="138"/>
      <c r="F16" s="131"/>
      <c r="G16" s="132"/>
    </row>
    <row r="17" spans="1:7" ht="25.5">
      <c r="A17" s="128">
        <v>3</v>
      </c>
      <c r="B17" s="143" t="s">
        <v>114</v>
      </c>
      <c r="C17" s="130" t="s">
        <v>112</v>
      </c>
      <c r="D17" s="230">
        <v>27.444</v>
      </c>
      <c r="E17" s="230">
        <v>17.718</v>
      </c>
      <c r="F17" s="230">
        <v>15.77</v>
      </c>
      <c r="G17" s="144">
        <f>F17/E17*100</f>
        <v>89.00553109831809</v>
      </c>
    </row>
    <row r="18" spans="1:10" ht="27.75" customHeight="1">
      <c r="A18" s="128">
        <v>4</v>
      </c>
      <c r="B18" s="143" t="s">
        <v>102</v>
      </c>
      <c r="C18" s="130" t="s">
        <v>112</v>
      </c>
      <c r="D18" s="230">
        <v>0.248</v>
      </c>
      <c r="E18" s="230"/>
      <c r="F18" s="131"/>
      <c r="G18" s="145"/>
      <c r="H18" s="133"/>
      <c r="I18" s="134"/>
      <c r="J18" s="134"/>
    </row>
    <row r="19" spans="1:8" ht="29.25" customHeight="1">
      <c r="A19" s="128">
        <v>5</v>
      </c>
      <c r="B19" s="143" t="s">
        <v>103</v>
      </c>
      <c r="C19" s="130" t="s">
        <v>111</v>
      </c>
      <c r="D19" s="230">
        <f>838291/H19/1000</f>
        <v>540.8329032258064</v>
      </c>
      <c r="E19" s="230">
        <f>(130278+266211)/H19/1000</f>
        <v>255.79935483870966</v>
      </c>
      <c r="F19" s="231">
        <v>189.39</v>
      </c>
      <c r="G19" s="144">
        <f>F19/E19*100</f>
        <v>74.03849791545288</v>
      </c>
      <c r="H19" s="139">
        <v>1.55</v>
      </c>
    </row>
    <row r="20" spans="1:7" ht="27" customHeight="1">
      <c r="A20" s="128">
        <v>6</v>
      </c>
      <c r="B20" s="143" t="s">
        <v>104</v>
      </c>
      <c r="C20" s="130" t="s">
        <v>111</v>
      </c>
      <c r="D20" s="105">
        <v>10.101</v>
      </c>
      <c r="E20" s="105">
        <v>6.164</v>
      </c>
      <c r="F20" s="105">
        <v>2.4</v>
      </c>
      <c r="G20" s="124">
        <f>F20/E20*100</f>
        <v>38.93575600259572</v>
      </c>
    </row>
    <row r="21" spans="1:7" ht="25.5" customHeight="1">
      <c r="A21" s="128">
        <v>7</v>
      </c>
      <c r="B21" s="143" t="s">
        <v>105</v>
      </c>
      <c r="C21" s="130" t="s">
        <v>112</v>
      </c>
      <c r="D21" s="230">
        <v>14.825</v>
      </c>
      <c r="E21" s="230">
        <v>14.825</v>
      </c>
      <c r="F21" s="131"/>
      <c r="G21" s="124">
        <f>F21/E21*100</f>
        <v>0</v>
      </c>
    </row>
    <row r="22" spans="1:7" ht="27" customHeight="1">
      <c r="A22" s="128">
        <v>8</v>
      </c>
      <c r="B22" s="143" t="s">
        <v>106</v>
      </c>
      <c r="C22" s="130" t="s">
        <v>111</v>
      </c>
      <c r="D22" s="230"/>
      <c r="E22" s="230"/>
      <c r="F22" s="131"/>
      <c r="G22" s="124"/>
    </row>
    <row r="23" spans="1:10" ht="29.25" customHeight="1">
      <c r="A23" s="128">
        <v>9</v>
      </c>
      <c r="B23" s="143" t="s">
        <v>107</v>
      </c>
      <c r="C23" s="130" t="s">
        <v>113</v>
      </c>
      <c r="D23" s="151">
        <v>216.6</v>
      </c>
      <c r="E23" s="151">
        <v>195.432</v>
      </c>
      <c r="F23" s="131"/>
      <c r="G23" s="124">
        <f>F23/E23*100</f>
        <v>0</v>
      </c>
      <c r="H23" s="82"/>
      <c r="I23" s="82"/>
      <c r="J23" s="82"/>
    </row>
    <row r="24" spans="1:10" ht="28.5" customHeight="1">
      <c r="A24" s="128">
        <v>10</v>
      </c>
      <c r="B24" s="143" t="s">
        <v>115</v>
      </c>
      <c r="C24" s="130" t="s">
        <v>112</v>
      </c>
      <c r="D24" s="150"/>
      <c r="E24" s="150"/>
      <c r="F24" s="152"/>
      <c r="G24" s="124"/>
      <c r="H24" s="82"/>
      <c r="I24" s="82"/>
      <c r="J24" s="82"/>
    </row>
    <row r="25" spans="1:10" ht="28.5" customHeight="1">
      <c r="A25" s="128">
        <v>11</v>
      </c>
      <c r="B25" s="143" t="s">
        <v>116</v>
      </c>
      <c r="C25" s="130" t="s">
        <v>112</v>
      </c>
      <c r="D25" s="150"/>
      <c r="E25" s="150"/>
      <c r="F25" s="152"/>
      <c r="G25" s="124"/>
      <c r="H25" s="82"/>
      <c r="I25" s="82"/>
      <c r="J25" s="82"/>
    </row>
    <row r="26" spans="1:10" ht="28.5" customHeight="1">
      <c r="A26" s="128">
        <v>12</v>
      </c>
      <c r="B26" s="143" t="s">
        <v>117</v>
      </c>
      <c r="C26" s="130" t="s">
        <v>112</v>
      </c>
      <c r="D26" s="151">
        <v>0.805</v>
      </c>
      <c r="E26" s="151"/>
      <c r="F26" s="185"/>
      <c r="G26" s="124"/>
      <c r="H26" s="82"/>
      <c r="I26" s="82"/>
      <c r="J26" s="82"/>
    </row>
    <row r="27" spans="1:10" ht="12.75">
      <c r="A27" s="146"/>
      <c r="B27" s="146"/>
      <c r="C27" s="146"/>
      <c r="D27" s="146"/>
      <c r="E27" s="146"/>
      <c r="F27" s="146"/>
      <c r="G27" s="146"/>
      <c r="H27" s="82"/>
      <c r="I27" s="82"/>
      <c r="J27" s="82"/>
    </row>
    <row r="28" spans="1:10" ht="12.75">
      <c r="A28" s="146"/>
      <c r="B28" s="146"/>
      <c r="C28" s="146"/>
      <c r="D28" s="146"/>
      <c r="E28" s="146"/>
      <c r="F28" s="146"/>
      <c r="G28" s="146"/>
      <c r="H28" s="82"/>
      <c r="I28" s="82"/>
      <c r="J28" s="82"/>
    </row>
    <row r="29" spans="1:10" ht="12.75">
      <c r="A29" s="82"/>
      <c r="B29" s="147" t="s">
        <v>108</v>
      </c>
      <c r="C29" s="82"/>
      <c r="D29" s="82"/>
      <c r="E29" s="82"/>
      <c r="F29" s="148"/>
      <c r="G29" s="82"/>
      <c r="H29" s="82"/>
      <c r="I29" s="82"/>
      <c r="J29" s="82"/>
    </row>
    <row r="30" spans="1:10" ht="12.75">
      <c r="A30" s="324" t="s">
        <v>109</v>
      </c>
      <c r="B30" s="324"/>
      <c r="C30" s="324"/>
      <c r="D30" s="324"/>
      <c r="E30" s="324"/>
      <c r="F30" s="324"/>
      <c r="G30" s="324"/>
      <c r="H30" s="324"/>
      <c r="I30" s="324"/>
      <c r="J30" s="82"/>
    </row>
    <row r="31" spans="1:10" ht="12.75">
      <c r="A31" s="82"/>
      <c r="B31" s="82"/>
      <c r="C31" s="82"/>
      <c r="D31" s="82"/>
      <c r="E31" s="82"/>
      <c r="F31" s="82"/>
      <c r="G31" s="82"/>
      <c r="H31" s="82"/>
      <c r="I31" s="82"/>
      <c r="J31" s="82"/>
    </row>
    <row r="32" spans="1:10" ht="12.75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ht="12.75">
      <c r="A33" s="82"/>
      <c r="B33" s="82"/>
      <c r="C33" s="82"/>
      <c r="D33" s="82"/>
      <c r="E33" s="82"/>
      <c r="F33" s="82"/>
      <c r="G33" s="82"/>
      <c r="H33" s="82"/>
      <c r="I33" s="82"/>
      <c r="J33" s="82"/>
    </row>
    <row r="34" spans="1:10" ht="12.75">
      <c r="A34" s="82"/>
      <c r="B34" s="82"/>
      <c r="C34" s="82"/>
      <c r="D34" s="82"/>
      <c r="E34" s="82"/>
      <c r="F34" s="82"/>
      <c r="G34" s="82"/>
      <c r="H34" s="82"/>
      <c r="I34" s="82"/>
      <c r="J34" s="82"/>
    </row>
    <row r="35" spans="1:10" ht="12.75">
      <c r="A35" s="82"/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12.75">
      <c r="A36" s="82"/>
      <c r="B36" s="82"/>
      <c r="C36" s="82"/>
      <c r="D36" s="82"/>
      <c r="E36" s="82"/>
      <c r="F36" s="82"/>
      <c r="G36" s="82"/>
      <c r="H36" s="82"/>
      <c r="I36" s="82"/>
      <c r="J36" s="82"/>
    </row>
  </sheetData>
  <sheetProtection/>
  <mergeCells count="9">
    <mergeCell ref="A30:I30"/>
    <mergeCell ref="A1:B1"/>
    <mergeCell ref="A4:G4"/>
    <mergeCell ref="A5:G5"/>
    <mergeCell ref="F6:G6"/>
    <mergeCell ref="A8:A9"/>
    <mergeCell ref="B8:B9"/>
    <mergeCell ref="C8:C9"/>
    <mergeCell ref="D8:G8"/>
  </mergeCells>
  <printOptions/>
  <pageMargins left="0.25" right="0.25" top="0.75" bottom="0.75" header="0.3" footer="0.3"/>
  <pageSetup fitToWidth="0" fitToHeight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4"/>
  <sheetViews>
    <sheetView zoomScale="84" zoomScaleNormal="84" zoomScalePageLayoutView="0" workbookViewId="0" topLeftCell="A7">
      <pane ySplit="3" topLeftCell="A13" activePane="bottomLeft" state="frozen"/>
      <selection pane="topLeft" activeCell="A7" sqref="A7"/>
      <selection pane="bottomLeft" activeCell="I16" sqref="I16"/>
    </sheetView>
  </sheetViews>
  <sheetFormatPr defaultColWidth="9.00390625" defaultRowHeight="12.75"/>
  <cols>
    <col min="1" max="1" width="5.25390625" style="81" customWidth="1"/>
    <col min="2" max="2" width="26.00390625" style="81" customWidth="1"/>
    <col min="3" max="4" width="9.125" style="81" customWidth="1"/>
    <col min="5" max="5" width="11.75390625" style="81" customWidth="1"/>
    <col min="6" max="6" width="9.125" style="81" customWidth="1"/>
    <col min="7" max="7" width="10.25390625" style="81" bestFit="1" customWidth="1"/>
    <col min="8" max="9" width="9.125" style="81" customWidth="1"/>
    <col min="10" max="10" width="11.25390625" style="81" customWidth="1"/>
    <col min="11" max="11" width="14.00390625" style="81" customWidth="1"/>
    <col min="12" max="14" width="9.125" style="81" customWidth="1"/>
    <col min="15" max="15" width="11.625" style="81" customWidth="1"/>
    <col min="16" max="16" width="17.75390625" style="81" customWidth="1"/>
    <col min="17" max="17" width="13.375" style="81" customWidth="1"/>
    <col min="18" max="18" width="14.875" style="81" customWidth="1"/>
    <col min="19" max="16384" width="9.125" style="81" customWidth="1"/>
  </cols>
  <sheetData>
    <row r="1" spans="1:16" ht="15">
      <c r="A1" s="362" t="s">
        <v>55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1:18" ht="12.75">
      <c r="A2" s="363" t="s">
        <v>56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4"/>
    </row>
    <row r="3" spans="1:18" ht="15">
      <c r="A3" s="365" t="s">
        <v>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3"/>
      <c r="R3" s="363"/>
    </row>
    <row r="4" spans="1:18" ht="12.75">
      <c r="A4" s="363" t="s">
        <v>79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121" t="s">
        <v>82</v>
      </c>
      <c r="R4" s="210">
        <f>'1.Свод'!F7</f>
        <v>40962</v>
      </c>
    </row>
    <row r="5" spans="1:18" ht="12.75">
      <c r="A5" s="363" t="s">
        <v>14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</row>
    <row r="6" spans="1:18" ht="12.75">
      <c r="A6" s="82"/>
      <c r="B6" s="83"/>
      <c r="C6" s="82"/>
      <c r="D6" s="82"/>
      <c r="E6" s="82"/>
      <c r="F6" s="84"/>
      <c r="G6" s="84"/>
      <c r="H6" s="84"/>
      <c r="I6" s="84"/>
      <c r="J6" s="84"/>
      <c r="K6" s="84"/>
      <c r="L6" s="82"/>
      <c r="M6" s="82"/>
      <c r="N6" s="82"/>
      <c r="O6" s="82"/>
      <c r="P6" s="82"/>
      <c r="Q6" s="82"/>
      <c r="R6" s="82"/>
    </row>
    <row r="7" spans="1:18" ht="79.5" customHeight="1">
      <c r="A7" s="366" t="s">
        <v>4</v>
      </c>
      <c r="B7" s="368" t="s">
        <v>57</v>
      </c>
      <c r="C7" s="370" t="s">
        <v>308</v>
      </c>
      <c r="D7" s="371"/>
      <c r="E7" s="372"/>
      <c r="F7" s="330" t="s">
        <v>58</v>
      </c>
      <c r="G7" s="332"/>
      <c r="H7" s="330" t="s">
        <v>59</v>
      </c>
      <c r="I7" s="332"/>
      <c r="J7" s="370" t="s">
        <v>60</v>
      </c>
      <c r="K7" s="373"/>
      <c r="L7" s="370" t="s">
        <v>61</v>
      </c>
      <c r="M7" s="374"/>
      <c r="N7" s="374"/>
      <c r="O7" s="373"/>
      <c r="P7" s="368" t="s">
        <v>62</v>
      </c>
      <c r="Q7" s="368" t="s">
        <v>63</v>
      </c>
      <c r="R7" s="368" t="s">
        <v>64</v>
      </c>
    </row>
    <row r="8" spans="1:18" ht="123" customHeight="1">
      <c r="A8" s="367"/>
      <c r="B8" s="369"/>
      <c r="C8" s="86" t="s">
        <v>65</v>
      </c>
      <c r="D8" s="87" t="s">
        <v>83</v>
      </c>
      <c r="E8" s="87" t="s">
        <v>84</v>
      </c>
      <c r="F8" s="86" t="s">
        <v>65</v>
      </c>
      <c r="G8" s="87" t="s">
        <v>83</v>
      </c>
      <c r="H8" s="86" t="s">
        <v>65</v>
      </c>
      <c r="I8" s="87" t="s">
        <v>83</v>
      </c>
      <c r="J8" s="87" t="s">
        <v>85</v>
      </c>
      <c r="K8" s="87" t="s">
        <v>66</v>
      </c>
      <c r="L8" s="86" t="s">
        <v>65</v>
      </c>
      <c r="M8" s="87" t="s">
        <v>83</v>
      </c>
      <c r="N8" s="87" t="s">
        <v>67</v>
      </c>
      <c r="O8" s="87" t="s">
        <v>68</v>
      </c>
      <c r="P8" s="369"/>
      <c r="Q8" s="369"/>
      <c r="R8" s="369"/>
    </row>
    <row r="9" spans="1:18" ht="12.75">
      <c r="A9" s="88">
        <v>1</v>
      </c>
      <c r="B9" s="89">
        <v>2</v>
      </c>
      <c r="C9" s="88">
        <v>3</v>
      </c>
      <c r="D9" s="88">
        <v>4</v>
      </c>
      <c r="E9" s="88">
        <v>5</v>
      </c>
      <c r="F9" s="88">
        <v>6</v>
      </c>
      <c r="G9" s="88">
        <v>7</v>
      </c>
      <c r="H9" s="88"/>
      <c r="I9" s="88"/>
      <c r="J9" s="88">
        <v>8</v>
      </c>
      <c r="K9" s="88">
        <v>9</v>
      </c>
      <c r="L9" s="88">
        <v>10</v>
      </c>
      <c r="M9" s="88">
        <v>11</v>
      </c>
      <c r="N9" s="88">
        <v>12</v>
      </c>
      <c r="O9" s="88">
        <v>13</v>
      </c>
      <c r="P9" s="88">
        <v>14</v>
      </c>
      <c r="Q9" s="88">
        <v>15</v>
      </c>
      <c r="R9" s="88">
        <v>16</v>
      </c>
    </row>
    <row r="10" spans="1:18" ht="18" customHeight="1">
      <c r="A10" s="377" t="s">
        <v>69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9"/>
    </row>
    <row r="11" spans="1:18" ht="27.75" customHeight="1">
      <c r="A11" s="380">
        <v>1</v>
      </c>
      <c r="B11" s="91" t="s">
        <v>70</v>
      </c>
      <c r="C11" s="92">
        <v>100.8</v>
      </c>
      <c r="D11" s="94">
        <f>1086.014*0.05</f>
        <v>54.3007</v>
      </c>
      <c r="E11" s="94">
        <f>1144291.705*1.12</f>
        <v>1281606.7096000002</v>
      </c>
      <c r="F11" s="95">
        <v>0</v>
      </c>
      <c r="G11" s="105">
        <v>0</v>
      </c>
      <c r="H11" s="97">
        <v>0</v>
      </c>
      <c r="I11" s="104">
        <v>0</v>
      </c>
      <c r="J11" s="98">
        <f>E11/C11</f>
        <v>12714.35227777778</v>
      </c>
      <c r="K11" s="99">
        <f>F11*J11</f>
        <v>0</v>
      </c>
      <c r="L11" s="92">
        <f>C11-F11</f>
        <v>100.8</v>
      </c>
      <c r="M11" s="93">
        <f>D11-G11</f>
        <v>54.3007</v>
      </c>
      <c r="N11" s="98">
        <f>J11</f>
        <v>12714.35227777778</v>
      </c>
      <c r="O11" s="100">
        <f>L11*N11</f>
        <v>1281606.7096000002</v>
      </c>
      <c r="P11" s="381" t="s">
        <v>71</v>
      </c>
      <c r="Q11" s="381" t="s">
        <v>72</v>
      </c>
      <c r="R11" s="384"/>
    </row>
    <row r="12" spans="1:18" ht="40.5" customHeight="1">
      <c r="A12" s="380"/>
      <c r="B12" s="101" t="s">
        <v>73</v>
      </c>
      <c r="C12" s="95">
        <v>62.52</v>
      </c>
      <c r="D12" s="124">
        <f>582.578*0.1</f>
        <v>58.2578</v>
      </c>
      <c r="E12" s="96">
        <f>1381095.408*1.12</f>
        <v>1546826.8569600002</v>
      </c>
      <c r="F12" s="220"/>
      <c r="G12" s="105"/>
      <c r="H12" s="105">
        <v>0</v>
      </c>
      <c r="I12" s="104">
        <v>0</v>
      </c>
      <c r="J12" s="98">
        <f>E12/C12</f>
        <v>24741.312491362765</v>
      </c>
      <c r="K12" s="99">
        <f>F12*J12</f>
        <v>0</v>
      </c>
      <c r="L12" s="92">
        <f aca="true" t="shared" si="0" ref="L12:L19">C12-F12</f>
        <v>62.52</v>
      </c>
      <c r="M12" s="96">
        <f>D12-G12</f>
        <v>58.2578</v>
      </c>
      <c r="N12" s="98">
        <f aca="true" t="shared" si="1" ref="N12:N18">J12</f>
        <v>24741.312491362765</v>
      </c>
      <c r="O12" s="100">
        <f>L12*N12</f>
        <v>1546826.8569600002</v>
      </c>
      <c r="P12" s="382"/>
      <c r="Q12" s="382"/>
      <c r="R12" s="385"/>
    </row>
    <row r="13" spans="1:18" ht="51.75" customHeight="1">
      <c r="A13" s="380"/>
      <c r="B13" s="91" t="s">
        <v>315</v>
      </c>
      <c r="C13" s="92">
        <v>62.45</v>
      </c>
      <c r="D13" s="124">
        <f>618.003*0.12</f>
        <v>74.16036</v>
      </c>
      <c r="E13" s="96">
        <f>1542200.935*1.12</f>
        <v>1727265.0472000001</v>
      </c>
      <c r="F13" s="220"/>
      <c r="G13" s="105"/>
      <c r="H13" s="105">
        <v>0</v>
      </c>
      <c r="I13" s="104">
        <v>0</v>
      </c>
      <c r="J13" s="98">
        <f>E13/C13</f>
        <v>27658.36744915933</v>
      </c>
      <c r="K13" s="99">
        <f>F13*J13</f>
        <v>0</v>
      </c>
      <c r="L13" s="92">
        <f t="shared" si="0"/>
        <v>62.45</v>
      </c>
      <c r="M13" s="93">
        <f>D13-G13</f>
        <v>74.16036</v>
      </c>
      <c r="N13" s="98">
        <f t="shared" si="1"/>
        <v>27658.36744915933</v>
      </c>
      <c r="O13" s="100">
        <f>L13*N13</f>
        <v>1727265.0472000001</v>
      </c>
      <c r="P13" s="382"/>
      <c r="Q13" s="382"/>
      <c r="R13" s="385"/>
    </row>
    <row r="14" spans="1:18" ht="42.75" customHeight="1">
      <c r="A14" s="380"/>
      <c r="B14" s="91" t="s">
        <v>317</v>
      </c>
      <c r="C14" s="92">
        <v>61.8</v>
      </c>
      <c r="D14" s="124">
        <f>653.445*0.15</f>
        <v>98.01675</v>
      </c>
      <c r="E14" s="96">
        <f>599835.841*1.12</f>
        <v>671816.1419200001</v>
      </c>
      <c r="F14" s="220"/>
      <c r="G14" s="105"/>
      <c r="H14" s="105">
        <v>0</v>
      </c>
      <c r="I14" s="104">
        <v>0</v>
      </c>
      <c r="J14" s="98">
        <f>E14/C14</f>
        <v>10870.811357928804</v>
      </c>
      <c r="K14" s="99">
        <f>F14*J14</f>
        <v>0</v>
      </c>
      <c r="L14" s="92">
        <f t="shared" si="0"/>
        <v>61.8</v>
      </c>
      <c r="M14" s="93">
        <f>D14-G14</f>
        <v>98.01675</v>
      </c>
      <c r="N14" s="98">
        <f t="shared" si="1"/>
        <v>10870.811357928804</v>
      </c>
      <c r="O14" s="100">
        <f>L14*N14</f>
        <v>671816.1419200001</v>
      </c>
      <c r="P14" s="382"/>
      <c r="Q14" s="382"/>
      <c r="R14" s="385"/>
    </row>
    <row r="15" spans="1:18" ht="41.25" customHeight="1">
      <c r="A15" s="380"/>
      <c r="B15" s="91" t="s">
        <v>316</v>
      </c>
      <c r="C15" s="92">
        <v>60.05</v>
      </c>
      <c r="D15" s="124">
        <f>1159.828*0.18</f>
        <v>208.76904</v>
      </c>
      <c r="E15" s="96">
        <f>401522.188*1.12</f>
        <v>449704.85056000005</v>
      </c>
      <c r="F15" s="220"/>
      <c r="G15" s="105"/>
      <c r="H15" s="105">
        <v>0</v>
      </c>
      <c r="I15" s="104">
        <v>0</v>
      </c>
      <c r="J15" s="98">
        <f>E15/C15</f>
        <v>7488.840142547878</v>
      </c>
      <c r="K15" s="99">
        <f>F15*J15</f>
        <v>0</v>
      </c>
      <c r="L15" s="92">
        <f t="shared" si="0"/>
        <v>60.05</v>
      </c>
      <c r="M15" s="93">
        <f>D15-G15</f>
        <v>208.76904</v>
      </c>
      <c r="N15" s="98">
        <f t="shared" si="1"/>
        <v>7488.840142547878</v>
      </c>
      <c r="O15" s="100">
        <f>L15*N15</f>
        <v>449704.85056000005</v>
      </c>
      <c r="P15" s="382"/>
      <c r="Q15" s="382"/>
      <c r="R15" s="385"/>
    </row>
    <row r="16" spans="1:18" ht="30.75" customHeight="1">
      <c r="A16" s="380"/>
      <c r="B16" s="91" t="s">
        <v>247</v>
      </c>
      <c r="C16" s="92"/>
      <c r="D16" s="124">
        <v>1251.88</v>
      </c>
      <c r="E16" s="93">
        <f>829112.128*1.12</f>
        <v>928605.5833600002</v>
      </c>
      <c r="F16" s="220"/>
      <c r="G16" s="105">
        <f>1629.4-1214.37</f>
        <v>415.0300000000002</v>
      </c>
      <c r="H16" s="105"/>
      <c r="I16" s="104">
        <v>6.4</v>
      </c>
      <c r="J16" s="102">
        <f>E16/D16</f>
        <v>741.7688463431</v>
      </c>
      <c r="K16" s="98">
        <f>G16*J16</f>
        <v>307856.3242977769</v>
      </c>
      <c r="L16" s="92">
        <f t="shared" si="0"/>
        <v>0</v>
      </c>
      <c r="M16" s="93">
        <f>D16-G16</f>
        <v>836.8499999999999</v>
      </c>
      <c r="N16" s="102">
        <f t="shared" si="1"/>
        <v>741.7688463431</v>
      </c>
      <c r="O16" s="100">
        <f>M16*N16</f>
        <v>620749.2590622231</v>
      </c>
      <c r="P16" s="382"/>
      <c r="Q16" s="382"/>
      <c r="R16" s="385"/>
    </row>
    <row r="17" spans="1:18" ht="29.25" customHeight="1">
      <c r="A17" s="380"/>
      <c r="B17" s="101" t="s">
        <v>74</v>
      </c>
      <c r="C17" s="95">
        <v>12.15</v>
      </c>
      <c r="D17" s="103"/>
      <c r="E17" s="96">
        <f>924791.573*1.12</f>
        <v>1035766.5617600001</v>
      </c>
      <c r="F17" s="95"/>
      <c r="G17" s="105"/>
      <c r="H17" s="105"/>
      <c r="I17" s="104"/>
      <c r="J17" s="98">
        <f>E17/C17</f>
        <v>85248.27668806585</v>
      </c>
      <c r="K17" s="98">
        <f>G17*J17</f>
        <v>0</v>
      </c>
      <c r="L17" s="110">
        <f>C17-G17</f>
        <v>12.15</v>
      </c>
      <c r="M17" s="96"/>
      <c r="N17" s="98">
        <f t="shared" si="1"/>
        <v>85248.27668806585</v>
      </c>
      <c r="O17" s="100">
        <f>L17*N17</f>
        <v>1035766.5617600001</v>
      </c>
      <c r="P17" s="382"/>
      <c r="Q17" s="382"/>
      <c r="R17" s="385"/>
    </row>
    <row r="18" spans="1:18" ht="28.5" customHeight="1">
      <c r="A18" s="380"/>
      <c r="B18" s="101" t="s">
        <v>75</v>
      </c>
      <c r="C18" s="95">
        <v>28</v>
      </c>
      <c r="D18" s="96"/>
      <c r="E18" s="96">
        <f>205798.6317*1.12</f>
        <v>230494.46750400003</v>
      </c>
      <c r="F18" s="95"/>
      <c r="G18" s="96"/>
      <c r="H18" s="105"/>
      <c r="I18" s="104"/>
      <c r="J18" s="98">
        <f>E18/C18</f>
        <v>8231.945268000001</v>
      </c>
      <c r="K18" s="99">
        <f>F18*J18</f>
        <v>0</v>
      </c>
      <c r="L18" s="92">
        <f t="shared" si="0"/>
        <v>28</v>
      </c>
      <c r="M18" s="96"/>
      <c r="N18" s="98">
        <f t="shared" si="1"/>
        <v>8231.945268000001</v>
      </c>
      <c r="O18" s="100">
        <f>L18*N18</f>
        <v>230494.46750400003</v>
      </c>
      <c r="P18" s="382"/>
      <c r="Q18" s="382"/>
      <c r="R18" s="385"/>
    </row>
    <row r="19" spans="1:18" ht="66" customHeight="1">
      <c r="A19" s="380"/>
      <c r="B19" s="101" t="s">
        <v>86</v>
      </c>
      <c r="C19" s="95">
        <f>(1+14+1+18+7)-12</f>
        <v>29</v>
      </c>
      <c r="D19" s="96"/>
      <c r="E19" s="93">
        <f>23440.0523*1.12</f>
        <v>26252.858576000002</v>
      </c>
      <c r="F19" s="95"/>
      <c r="G19" s="96"/>
      <c r="H19" s="97"/>
      <c r="I19" s="104"/>
      <c r="J19" s="105">
        <f>E19/C19</f>
        <v>905.2709853793104</v>
      </c>
      <c r="K19" s="99">
        <f>F19*J19</f>
        <v>0</v>
      </c>
      <c r="L19" s="92">
        <f t="shared" si="0"/>
        <v>29</v>
      </c>
      <c r="M19" s="96"/>
      <c r="N19" s="106"/>
      <c r="O19" s="107">
        <f>E19-K19</f>
        <v>26252.858576000002</v>
      </c>
      <c r="P19" s="383"/>
      <c r="Q19" s="383"/>
      <c r="R19" s="385"/>
    </row>
    <row r="20" spans="1:18" ht="15">
      <c r="A20" s="90"/>
      <c r="B20" s="108" t="s">
        <v>76</v>
      </c>
      <c r="C20" s="92"/>
      <c r="D20" s="93"/>
      <c r="E20" s="109">
        <f>SUM(E11:E19)</f>
        <v>7898339.077440001</v>
      </c>
      <c r="F20" s="95"/>
      <c r="G20" s="96"/>
      <c r="H20" s="97"/>
      <c r="I20" s="97"/>
      <c r="J20" s="110"/>
      <c r="K20" s="111">
        <f>SUM(K11:K19)</f>
        <v>307856.3242977769</v>
      </c>
      <c r="L20" s="92"/>
      <c r="M20" s="93"/>
      <c r="N20" s="93"/>
      <c r="O20" s="109">
        <f>SUM(O11:O19)</f>
        <v>7590482.753142224</v>
      </c>
      <c r="P20" s="112">
        <v>1230.052</v>
      </c>
      <c r="Q20" s="112">
        <v>1230.052</v>
      </c>
      <c r="R20" s="113"/>
    </row>
    <row r="21" spans="1:18" ht="12.75">
      <c r="A21" s="82"/>
      <c r="B21" s="83"/>
      <c r="C21" s="82"/>
      <c r="D21" s="82"/>
      <c r="E21" s="114"/>
      <c r="F21" s="84"/>
      <c r="G21" s="84"/>
      <c r="H21" s="84"/>
      <c r="I21" s="84"/>
      <c r="J21" s="84"/>
      <c r="K21" s="84"/>
      <c r="L21" s="82"/>
      <c r="M21" s="82"/>
      <c r="N21" s="82"/>
      <c r="O21" s="82"/>
      <c r="P21" s="375" t="s">
        <v>77</v>
      </c>
      <c r="Q21" s="375" t="s">
        <v>77</v>
      </c>
      <c r="R21" s="82"/>
    </row>
    <row r="22" spans="1:18" ht="12.75">
      <c r="A22" s="82"/>
      <c r="B22" s="83"/>
      <c r="C22" s="82"/>
      <c r="D22" s="82"/>
      <c r="E22" s="115"/>
      <c r="F22" s="84"/>
      <c r="G22" s="84"/>
      <c r="H22" s="84"/>
      <c r="I22" s="84"/>
      <c r="J22" s="84"/>
      <c r="K22" s="84"/>
      <c r="L22" s="82"/>
      <c r="M22" s="82"/>
      <c r="N22" s="82"/>
      <c r="O22" s="82"/>
      <c r="P22" s="364"/>
      <c r="Q22" s="364"/>
      <c r="R22" s="82"/>
    </row>
    <row r="24" spans="4:17" ht="15.75">
      <c r="D24" s="376" t="s">
        <v>78</v>
      </c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</row>
  </sheetData>
  <sheetProtection/>
  <mergeCells count="26">
    <mergeCell ref="P21:P22"/>
    <mergeCell ref="Q21:Q22"/>
    <mergeCell ref="D24:Q24"/>
    <mergeCell ref="Q7:Q8"/>
    <mergeCell ref="R7:R8"/>
    <mergeCell ref="A10:R10"/>
    <mergeCell ref="A11:A19"/>
    <mergeCell ref="P11:P19"/>
    <mergeCell ref="Q11:Q19"/>
    <mergeCell ref="R11:R19"/>
    <mergeCell ref="A5:P5"/>
    <mergeCell ref="Q5:R5"/>
    <mergeCell ref="A7:A8"/>
    <mergeCell ref="B7:B8"/>
    <mergeCell ref="C7:E7"/>
    <mergeCell ref="F7:G7"/>
    <mergeCell ref="H7:I7"/>
    <mergeCell ref="J7:K7"/>
    <mergeCell ref="L7:O7"/>
    <mergeCell ref="P7:P8"/>
    <mergeCell ref="A1:P1"/>
    <mergeCell ref="A2:P2"/>
    <mergeCell ref="Q2:R2"/>
    <mergeCell ref="A3:P3"/>
    <mergeCell ref="Q3:R3"/>
    <mergeCell ref="A4:P4"/>
  </mergeCells>
  <printOptions/>
  <pageMargins left="0.7" right="0.7" top="0.75" bottom="0.75" header="0.3" footer="0.3"/>
  <pageSetup fitToHeight="0" fitToWidth="1"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="82" zoomScaleNormal="82" zoomScaleSheetLayoutView="90" zoomScalePageLayoutView="0" workbookViewId="0" topLeftCell="A4">
      <selection activeCell="G16" sqref="G16"/>
    </sheetView>
  </sheetViews>
  <sheetFormatPr defaultColWidth="9.00390625" defaultRowHeight="12.75"/>
  <cols>
    <col min="1" max="1" width="26.875" style="0" customWidth="1"/>
    <col min="2" max="2" width="16.625" style="0" customWidth="1"/>
    <col min="3" max="3" width="10.875" style="0" customWidth="1"/>
    <col min="4" max="4" width="12.375" style="0" customWidth="1"/>
    <col min="5" max="5" width="9.375" style="0" customWidth="1"/>
    <col min="6" max="6" width="11.375" style="0" customWidth="1"/>
    <col min="7" max="7" width="9.75390625" style="0" customWidth="1"/>
    <col min="8" max="8" width="8.875" style="0" customWidth="1"/>
    <col min="9" max="9" width="9.75390625" style="0" customWidth="1"/>
    <col min="10" max="10" width="12.375" style="0" customWidth="1"/>
    <col min="11" max="11" width="8.75390625" style="0" customWidth="1"/>
    <col min="12" max="12" width="9.125" style="0" customWidth="1"/>
    <col min="13" max="13" width="8.625" style="0" customWidth="1"/>
    <col min="14" max="14" width="10.125" style="0" customWidth="1"/>
    <col min="15" max="15" width="8.75390625" style="0" customWidth="1"/>
    <col min="16" max="16" width="9.25390625" style="0" customWidth="1"/>
    <col min="17" max="17" width="9.00390625" style="0" customWidth="1"/>
    <col min="18" max="18" width="9.375" style="0" customWidth="1"/>
    <col min="19" max="19" width="7.75390625" style="0" customWidth="1"/>
    <col min="27" max="27" width="10.625" style="0" customWidth="1"/>
  </cols>
  <sheetData>
    <row r="1" spans="1:19" ht="15.75" customHeight="1">
      <c r="A1" s="388" t="s">
        <v>23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</row>
    <row r="2" spans="1:19" ht="9" customHeight="1">
      <c r="A2" s="388"/>
      <c r="B2" s="388"/>
      <c r="C2" s="388"/>
      <c r="D2" s="388"/>
      <c r="E2" s="388"/>
      <c r="F2" s="388"/>
      <c r="G2" s="388"/>
      <c r="H2" s="388"/>
      <c r="I2" s="388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3.5" customHeight="1">
      <c r="B3" s="118"/>
      <c r="C3" s="118"/>
      <c r="D3" s="118"/>
      <c r="E3" s="118"/>
      <c r="F3" s="118"/>
      <c r="G3" s="118"/>
      <c r="H3" s="119" t="s">
        <v>81</v>
      </c>
      <c r="I3" s="118"/>
      <c r="J3" s="118"/>
      <c r="K3" s="118"/>
      <c r="L3" s="118"/>
      <c r="M3" s="118"/>
      <c r="N3" s="118"/>
      <c r="O3" s="118"/>
      <c r="P3" s="118"/>
      <c r="Q3" s="122" t="s">
        <v>82</v>
      </c>
      <c r="R3" s="407">
        <f>'9.Департамент'!E3</f>
        <v>40962</v>
      </c>
      <c r="S3" s="407"/>
    </row>
    <row r="4" spans="2:19" ht="13.5" customHeight="1">
      <c r="B4" s="79"/>
      <c r="C4" s="79"/>
      <c r="D4" s="79"/>
      <c r="E4" s="79"/>
      <c r="F4" s="79"/>
      <c r="G4" s="79"/>
      <c r="H4" s="80" t="s">
        <v>53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8.75" customHeight="1">
      <c r="A5" s="389" t="s">
        <v>24</v>
      </c>
      <c r="B5" s="411" t="s">
        <v>25</v>
      </c>
      <c r="C5" s="412"/>
      <c r="D5" s="412"/>
      <c r="E5" s="412"/>
      <c r="F5" s="412"/>
      <c r="G5" s="413"/>
      <c r="H5" s="411" t="s">
        <v>26</v>
      </c>
      <c r="I5" s="412"/>
      <c r="J5" s="412"/>
      <c r="K5" s="412"/>
      <c r="L5" s="412"/>
      <c r="M5" s="413"/>
      <c r="N5" s="389" t="s">
        <v>27</v>
      </c>
      <c r="O5" s="389"/>
      <c r="P5" s="389"/>
      <c r="Q5" s="389"/>
      <c r="R5" s="389"/>
      <c r="S5" s="389"/>
    </row>
    <row r="6" spans="1:19" ht="15" customHeight="1">
      <c r="A6" s="389"/>
      <c r="B6" s="390" t="s">
        <v>28</v>
      </c>
      <c r="C6" s="390" t="s">
        <v>312</v>
      </c>
      <c r="D6" s="394" t="s">
        <v>29</v>
      </c>
      <c r="E6" s="395"/>
      <c r="F6" s="390" t="s">
        <v>30</v>
      </c>
      <c r="G6" s="402" t="s">
        <v>18</v>
      </c>
      <c r="H6" s="390" t="s">
        <v>31</v>
      </c>
      <c r="I6" s="390" t="s">
        <v>312</v>
      </c>
      <c r="J6" s="394" t="s">
        <v>29</v>
      </c>
      <c r="K6" s="395"/>
      <c r="L6" s="390" t="s">
        <v>32</v>
      </c>
      <c r="M6" s="402" t="s">
        <v>18</v>
      </c>
      <c r="N6" s="408" t="s">
        <v>31</v>
      </c>
      <c r="O6" s="408" t="s">
        <v>312</v>
      </c>
      <c r="P6" s="409" t="s">
        <v>29</v>
      </c>
      <c r="Q6" s="410"/>
      <c r="R6" s="408" t="s">
        <v>32</v>
      </c>
      <c r="S6" s="402" t="s">
        <v>18</v>
      </c>
    </row>
    <row r="7" spans="1:19" ht="99.75" customHeight="1">
      <c r="A7" s="389"/>
      <c r="B7" s="391"/>
      <c r="C7" s="391"/>
      <c r="D7" s="24" t="s">
        <v>33</v>
      </c>
      <c r="E7" s="24" t="s">
        <v>34</v>
      </c>
      <c r="F7" s="391"/>
      <c r="G7" s="402"/>
      <c r="H7" s="391"/>
      <c r="I7" s="391"/>
      <c r="J7" s="24" t="s">
        <v>33</v>
      </c>
      <c r="K7" s="24" t="s">
        <v>34</v>
      </c>
      <c r="L7" s="391"/>
      <c r="M7" s="402"/>
      <c r="N7" s="391"/>
      <c r="O7" s="391"/>
      <c r="P7" s="24" t="s">
        <v>33</v>
      </c>
      <c r="Q7" s="24" t="s">
        <v>34</v>
      </c>
      <c r="R7" s="391"/>
      <c r="S7" s="402"/>
    </row>
    <row r="8" spans="1:19" ht="24" customHeight="1">
      <c r="A8" s="26" t="s">
        <v>14</v>
      </c>
      <c r="B8" s="27" t="s">
        <v>35</v>
      </c>
      <c r="C8" s="28">
        <f>'4.Материалы'!E10</f>
        <v>356.1514285714286</v>
      </c>
      <c r="D8" s="28">
        <f>'4.Материалы'!F10</f>
        <v>100.69</v>
      </c>
      <c r="E8" s="28">
        <v>0.116</v>
      </c>
      <c r="F8" s="28">
        <f>C8-D8</f>
        <v>255.4614285714286</v>
      </c>
      <c r="G8" s="29">
        <f>(D8/C8)*100</f>
        <v>28.271682189758767</v>
      </c>
      <c r="H8" s="27" t="s">
        <v>35</v>
      </c>
      <c r="I8" s="222">
        <f>'4.Материалы'!E19</f>
        <v>255.79935483870966</v>
      </c>
      <c r="J8" s="30">
        <f>'4.Материалы'!F19</f>
        <v>189.39</v>
      </c>
      <c r="K8" s="31"/>
      <c r="L8" s="29">
        <f>I8-J8</f>
        <v>66.40935483870967</v>
      </c>
      <c r="M8" s="29">
        <f>(J8/I8)*100</f>
        <v>74.03849791545288</v>
      </c>
      <c r="N8" s="27" t="s">
        <v>35</v>
      </c>
      <c r="O8" s="30">
        <f>'4.Материалы'!E20</f>
        <v>6.164</v>
      </c>
      <c r="P8" s="30">
        <f>'4.Материалы'!F20</f>
        <v>2.4</v>
      </c>
      <c r="Q8" s="31"/>
      <c r="R8" s="31">
        <f>O8-P8</f>
        <v>3.764</v>
      </c>
      <c r="S8" s="29">
        <f>(P8/O8)*100</f>
        <v>38.93575600259572</v>
      </c>
    </row>
    <row r="9" spans="1:19" ht="24" customHeight="1">
      <c r="A9" s="26" t="s">
        <v>13</v>
      </c>
      <c r="B9" s="27" t="s">
        <v>36</v>
      </c>
      <c r="C9" s="27"/>
      <c r="D9" s="32"/>
      <c r="E9" s="32"/>
      <c r="F9" s="32"/>
      <c r="G9" s="29"/>
      <c r="H9" s="27"/>
      <c r="I9" s="33"/>
      <c r="J9" s="31"/>
      <c r="K9" s="31"/>
      <c r="L9" s="29"/>
      <c r="M9" s="29"/>
      <c r="N9" s="27"/>
      <c r="O9" s="31"/>
      <c r="P9" s="31"/>
      <c r="Q9" s="31"/>
      <c r="R9" s="31"/>
      <c r="S9" s="29"/>
    </row>
    <row r="10" spans="1:19" ht="26.25" customHeight="1">
      <c r="A10" s="26" t="s">
        <v>37</v>
      </c>
      <c r="B10" s="27" t="s">
        <v>36</v>
      </c>
      <c r="C10" s="27"/>
      <c r="D10" s="32"/>
      <c r="E10" s="32"/>
      <c r="F10" s="32"/>
      <c r="G10" s="29"/>
      <c r="H10" s="27"/>
      <c r="I10" s="33"/>
      <c r="J10" s="31"/>
      <c r="K10" s="31"/>
      <c r="L10" s="29"/>
      <c r="M10" s="29"/>
      <c r="N10" s="27"/>
      <c r="O10" s="31"/>
      <c r="P10" s="31"/>
      <c r="Q10" s="31"/>
      <c r="R10" s="31"/>
      <c r="S10" s="29"/>
    </row>
    <row r="11" spans="1:19" ht="27.75" customHeight="1">
      <c r="A11" s="26" t="s">
        <v>9</v>
      </c>
      <c r="B11" s="27" t="s">
        <v>36</v>
      </c>
      <c r="C11" s="27"/>
      <c r="D11" s="32"/>
      <c r="E11" s="32"/>
      <c r="F11" s="32"/>
      <c r="G11" s="34"/>
      <c r="H11" s="27"/>
      <c r="I11" s="33"/>
      <c r="J11" s="31"/>
      <c r="K11" s="31"/>
      <c r="L11" s="29"/>
      <c r="M11" s="29"/>
      <c r="N11" s="27"/>
      <c r="O11" s="31"/>
      <c r="P11" s="31"/>
      <c r="Q11" s="31"/>
      <c r="R11" s="31"/>
      <c r="S11" s="29"/>
    </row>
    <row r="12" spans="1:19" ht="15">
      <c r="A12" s="35" t="s">
        <v>38</v>
      </c>
      <c r="B12" s="35"/>
      <c r="C12" s="36">
        <f>C8+C9+C10+C11</f>
        <v>356.1514285714286</v>
      </c>
      <c r="D12" s="36">
        <f>D11+D9+D8</f>
        <v>100.69</v>
      </c>
      <c r="E12" s="37">
        <f>E11+E9+E8</f>
        <v>0.116</v>
      </c>
      <c r="F12" s="38">
        <f>C12-D12</f>
        <v>255.4614285714286</v>
      </c>
      <c r="G12" s="39">
        <f>(D12/C12)*100</f>
        <v>28.271682189758767</v>
      </c>
      <c r="H12" s="39"/>
      <c r="I12" s="318">
        <f>SUM(I8:I11)</f>
        <v>255.79935483870966</v>
      </c>
      <c r="J12" s="40">
        <f>SUM(J8:J11)</f>
        <v>189.39</v>
      </c>
      <c r="K12" s="40"/>
      <c r="L12" s="41">
        <f>I12-J12</f>
        <v>66.40935483870967</v>
      </c>
      <c r="M12" s="41">
        <f>(J12/I12)*100</f>
        <v>74.03849791545288</v>
      </c>
      <c r="N12" s="40"/>
      <c r="O12" s="41">
        <f>SUM(O8:O11)</f>
        <v>6.164</v>
      </c>
      <c r="P12" s="40">
        <f>SUM(P8:P11)</f>
        <v>2.4</v>
      </c>
      <c r="Q12" s="40"/>
      <c r="R12" s="40">
        <f>O12-P12</f>
        <v>3.764</v>
      </c>
      <c r="S12" s="41">
        <f>(P12/O12)*100</f>
        <v>38.93575600259572</v>
      </c>
    </row>
    <row r="13" spans="1:19" ht="15">
      <c r="A13" s="42"/>
      <c r="B13" s="43"/>
      <c r="C13" s="44"/>
      <c r="D13" s="44"/>
      <c r="E13" s="44"/>
      <c r="F13" s="45"/>
      <c r="G13" s="46"/>
      <c r="H13" s="46"/>
      <c r="I13" s="47"/>
      <c r="J13" s="48"/>
      <c r="K13" s="48"/>
      <c r="L13" s="49"/>
      <c r="M13" s="50"/>
      <c r="N13" s="48"/>
      <c r="O13" s="49"/>
      <c r="P13" s="48"/>
      <c r="Q13" s="48"/>
      <c r="R13" s="48"/>
      <c r="S13" s="49"/>
    </row>
    <row r="14" spans="1:27" ht="15" customHeight="1">
      <c r="A14" s="396" t="s">
        <v>24</v>
      </c>
      <c r="B14" s="396" t="s">
        <v>39</v>
      </c>
      <c r="C14" s="396" t="s">
        <v>40</v>
      </c>
      <c r="D14" s="398" t="s">
        <v>243</v>
      </c>
      <c r="E14" s="399"/>
      <c r="F14" s="398" t="s">
        <v>41</v>
      </c>
      <c r="G14" s="399"/>
      <c r="H14" s="400" t="s">
        <v>239</v>
      </c>
      <c r="I14" s="401"/>
      <c r="J14" s="392" t="s">
        <v>240</v>
      </c>
      <c r="K14" s="393"/>
      <c r="L14" s="392" t="s">
        <v>241</v>
      </c>
      <c r="M14" s="393"/>
      <c r="N14" s="392" t="s">
        <v>242</v>
      </c>
      <c r="O14" s="393"/>
      <c r="P14" s="386" t="s">
        <v>237</v>
      </c>
      <c r="Q14" s="387"/>
      <c r="R14" s="386" t="s">
        <v>238</v>
      </c>
      <c r="S14" s="387"/>
      <c r="T14" s="386" t="s">
        <v>300</v>
      </c>
      <c r="U14" s="387"/>
      <c r="V14" s="386" t="s">
        <v>302</v>
      </c>
      <c r="W14" s="387"/>
      <c r="X14" s="386" t="s">
        <v>303</v>
      </c>
      <c r="Y14" s="387"/>
      <c r="Z14" s="386" t="s">
        <v>307</v>
      </c>
      <c r="AA14" s="387"/>
    </row>
    <row r="15" spans="1:27" ht="38.25" customHeight="1">
      <c r="A15" s="397"/>
      <c r="B15" s="397"/>
      <c r="C15" s="397"/>
      <c r="D15" s="51" t="s">
        <v>42</v>
      </c>
      <c r="E15" s="51" t="s">
        <v>43</v>
      </c>
      <c r="F15" s="51" t="s">
        <v>44</v>
      </c>
      <c r="G15" s="51" t="s">
        <v>45</v>
      </c>
      <c r="H15" s="51" t="s">
        <v>44</v>
      </c>
      <c r="I15" s="51" t="s">
        <v>43</v>
      </c>
      <c r="J15" s="51" t="s">
        <v>44</v>
      </c>
      <c r="K15" s="51" t="s">
        <v>43</v>
      </c>
      <c r="L15" s="51" t="s">
        <v>44</v>
      </c>
      <c r="M15" s="51" t="s">
        <v>43</v>
      </c>
      <c r="N15" s="51" t="s">
        <v>44</v>
      </c>
      <c r="O15" s="51" t="s">
        <v>43</v>
      </c>
      <c r="P15" s="51" t="s">
        <v>44</v>
      </c>
      <c r="Q15" s="51" t="s">
        <v>43</v>
      </c>
      <c r="R15" s="51" t="s">
        <v>44</v>
      </c>
      <c r="S15" s="51" t="s">
        <v>43</v>
      </c>
      <c r="T15" s="51" t="s">
        <v>44</v>
      </c>
      <c r="U15" s="51" t="s">
        <v>43</v>
      </c>
      <c r="V15" s="51" t="s">
        <v>44</v>
      </c>
      <c r="W15" s="51" t="s">
        <v>43</v>
      </c>
      <c r="X15" s="51" t="s">
        <v>44</v>
      </c>
      <c r="Y15" s="51" t="s">
        <v>43</v>
      </c>
      <c r="Z15" s="51" t="s">
        <v>44</v>
      </c>
      <c r="AA15" s="51" t="s">
        <v>43</v>
      </c>
    </row>
    <row r="16" spans="1:28" ht="27" customHeight="1">
      <c r="A16" s="403" t="s">
        <v>54</v>
      </c>
      <c r="B16" s="52" t="s">
        <v>46</v>
      </c>
      <c r="C16" s="27" t="s">
        <v>35</v>
      </c>
      <c r="D16" s="39">
        <f>20/AB16</f>
        <v>14.285714285714286</v>
      </c>
      <c r="E16" s="55">
        <f>0.82+0.19+0.72+0.48+0.97+1.42+0.86+0.62+0.93+1.61+2.08+1.81+1.2+0.613+0.16+0.51+0.7+0.52+0.098+0.1+0.74</f>
        <v>17.150999999999996</v>
      </c>
      <c r="F16" s="54">
        <f>45/AB16</f>
        <v>32.142857142857146</v>
      </c>
      <c r="G16" s="53">
        <f>0.71+0.045+0.17+0.26+0.34+0.057+0.95+0.22+0.094+0.098+0.12</f>
        <v>3.064</v>
      </c>
      <c r="H16" s="54">
        <f>34/AB16</f>
        <v>24.28571428571429</v>
      </c>
      <c r="I16" s="55"/>
      <c r="J16" s="39">
        <f>52.67/AB16</f>
        <v>37.621428571428574</v>
      </c>
      <c r="K16" s="56"/>
      <c r="L16" s="39">
        <f>75/AB16</f>
        <v>53.57142857142858</v>
      </c>
      <c r="M16" s="56"/>
      <c r="N16" s="39">
        <f>70/AB16</f>
        <v>50</v>
      </c>
      <c r="O16" s="56"/>
      <c r="P16" s="316">
        <f>54.3/AB16</f>
        <v>38.785714285714285</v>
      </c>
      <c r="Q16" s="61"/>
      <c r="R16" s="316">
        <f>35/AB16</f>
        <v>25</v>
      </c>
      <c r="S16" s="61"/>
      <c r="T16" s="316"/>
      <c r="U16" s="61"/>
      <c r="V16" s="25"/>
      <c r="W16" s="61"/>
      <c r="X16" s="25"/>
      <c r="Y16" s="61"/>
      <c r="Z16" s="25"/>
      <c r="AA16" s="61"/>
      <c r="AB16">
        <v>1.4</v>
      </c>
    </row>
    <row r="17" spans="1:28" ht="30.75" customHeight="1">
      <c r="A17" s="404"/>
      <c r="B17" s="52" t="s">
        <v>47</v>
      </c>
      <c r="C17" s="27" t="s">
        <v>35</v>
      </c>
      <c r="D17" s="39">
        <f>35/AB17</f>
        <v>22.58064516129032</v>
      </c>
      <c r="E17" s="55">
        <f>6.48+7.77+0.35+0.26+6.16+3.86+8.37+3.29+11.91+3.19</f>
        <v>51.64</v>
      </c>
      <c r="F17" s="54">
        <f>30/AB17</f>
        <v>19.35483870967742</v>
      </c>
      <c r="G17" s="53">
        <f>1.08+4.24+1.18+1.17+0.69+1.87+1.25+3.05</f>
        <v>14.530000000000001</v>
      </c>
      <c r="H17" s="54">
        <f>24/AB17</f>
        <v>15.483870967741934</v>
      </c>
      <c r="I17" s="55"/>
      <c r="J17" s="39">
        <f>24/AB17</f>
        <v>15.483870967741934</v>
      </c>
      <c r="K17" s="61"/>
      <c r="L17" s="39">
        <f>30/AB17</f>
        <v>19.35483870967742</v>
      </c>
      <c r="M17" s="61"/>
      <c r="N17" s="39">
        <f>30/AB17</f>
        <v>19.35483870967742</v>
      </c>
      <c r="O17" s="61"/>
      <c r="P17" s="316">
        <f>32.52/AB17</f>
        <v>20.980645161290322</v>
      </c>
      <c r="Q17" s="56"/>
      <c r="R17" s="316"/>
      <c r="S17" s="61"/>
      <c r="T17" s="25"/>
      <c r="U17" s="61"/>
      <c r="V17" s="25"/>
      <c r="W17" s="61"/>
      <c r="X17" s="25"/>
      <c r="Y17" s="61"/>
      <c r="Z17" s="25"/>
      <c r="AA17" s="61"/>
      <c r="AB17">
        <v>1.55</v>
      </c>
    </row>
    <row r="18" spans="1:27" ht="40.5" customHeight="1">
      <c r="A18" s="405"/>
      <c r="B18" s="52" t="s">
        <v>48</v>
      </c>
      <c r="C18" s="27" t="s">
        <v>35</v>
      </c>
      <c r="D18" s="58">
        <f>0.411</f>
        <v>0.411</v>
      </c>
      <c r="E18" s="59">
        <f>0.207+0.032+0.017+0.013+0.2</f>
        <v>0.46900000000000003</v>
      </c>
      <c r="F18" s="58">
        <v>0.7</v>
      </c>
      <c r="G18" s="57">
        <f>0.069+0.31</f>
        <v>0.379</v>
      </c>
      <c r="H18" s="58">
        <v>0.7</v>
      </c>
      <c r="I18" s="59"/>
      <c r="J18" s="60">
        <v>0.7</v>
      </c>
      <c r="K18" s="61"/>
      <c r="L18" s="60">
        <v>0.6</v>
      </c>
      <c r="M18" s="61"/>
      <c r="N18" s="60">
        <v>0.6</v>
      </c>
      <c r="O18" s="61"/>
      <c r="P18" s="25">
        <v>0.55</v>
      </c>
      <c r="Q18" s="61"/>
      <c r="R18" s="25">
        <v>0.307</v>
      </c>
      <c r="S18" s="61"/>
      <c r="T18" s="317"/>
      <c r="U18" s="61"/>
      <c r="V18" s="25"/>
      <c r="W18" s="61"/>
      <c r="X18" s="25"/>
      <c r="Y18" s="61"/>
      <c r="Z18" s="25"/>
      <c r="AA18" s="61"/>
    </row>
    <row r="19" spans="1:9" ht="7.5" customHeight="1">
      <c r="A19" s="406"/>
      <c r="B19" s="406"/>
      <c r="C19" s="406"/>
      <c r="D19" s="406"/>
      <c r="E19" s="406"/>
      <c r="F19" s="62"/>
      <c r="G19" s="63"/>
      <c r="H19" s="63"/>
      <c r="I19" s="63"/>
    </row>
    <row r="20" spans="1:17" ht="12.75">
      <c r="A20" s="64"/>
      <c r="B20" s="64"/>
      <c r="C20" s="319"/>
      <c r="D20" s="64"/>
      <c r="E20" s="64"/>
      <c r="F20" s="64"/>
      <c r="G20" s="64"/>
      <c r="H20" s="64"/>
      <c r="Q20" s="64"/>
    </row>
    <row r="21" spans="1:17" ht="12.75">
      <c r="A21" s="64"/>
      <c r="B21" s="64"/>
      <c r="D21" s="64"/>
      <c r="E21" s="64"/>
      <c r="F21" s="64"/>
      <c r="G21" s="64"/>
      <c r="H21" s="64"/>
      <c r="Q21" s="64"/>
    </row>
    <row r="22" spans="1:18" ht="12.75" customHeight="1">
      <c r="A22" s="65"/>
      <c r="B22" s="66"/>
      <c r="C22" s="66"/>
      <c r="D22" s="66"/>
      <c r="E22" s="66"/>
      <c r="F22" s="66"/>
      <c r="G22" s="66"/>
      <c r="I22" s="66"/>
      <c r="J22" s="66"/>
      <c r="K22" s="66"/>
      <c r="L22" s="66"/>
      <c r="M22" s="67"/>
      <c r="Q22" s="68"/>
      <c r="R22" s="64"/>
    </row>
    <row r="23" spans="1:19" ht="13.5" customHeight="1">
      <c r="A23" s="65"/>
      <c r="B23" s="66"/>
      <c r="C23" s="68"/>
      <c r="D23" s="66"/>
      <c r="E23" s="66"/>
      <c r="F23" s="66"/>
      <c r="I23" s="69"/>
      <c r="J23" s="70" t="s">
        <v>49</v>
      </c>
      <c r="K23" s="71"/>
      <c r="L23" s="71"/>
      <c r="M23" s="71"/>
      <c r="N23" s="72" t="s">
        <v>50</v>
      </c>
      <c r="O23" s="71"/>
      <c r="Q23" s="64"/>
      <c r="R23" s="64"/>
      <c r="S23" s="64"/>
    </row>
    <row r="24" spans="1:19" ht="15.75">
      <c r="A24" s="73"/>
      <c r="B24" s="66"/>
      <c r="C24" s="74"/>
      <c r="D24" s="75"/>
      <c r="E24" s="76"/>
      <c r="F24" s="66"/>
      <c r="G24" s="23"/>
      <c r="H24" s="66"/>
      <c r="J24" s="77" t="s">
        <v>51</v>
      </c>
      <c r="K24" s="77"/>
      <c r="L24" s="77"/>
      <c r="M24" s="77"/>
      <c r="N24" s="77" t="s">
        <v>52</v>
      </c>
      <c r="Q24" s="64"/>
      <c r="R24" s="64"/>
      <c r="S24" s="64"/>
    </row>
    <row r="25" spans="2:19" ht="14.25">
      <c r="B25" s="66"/>
      <c r="C25" s="78"/>
      <c r="D25" s="64"/>
      <c r="J25" s="69"/>
      <c r="L25" s="69"/>
      <c r="Q25" s="64"/>
      <c r="R25" s="64"/>
      <c r="S25" s="64"/>
    </row>
    <row r="26" spans="3:19" ht="14.25">
      <c r="C26" s="78"/>
      <c r="D26" s="64"/>
      <c r="F26" s="66"/>
      <c r="J26" s="64"/>
      <c r="L26" s="69"/>
      <c r="M26" s="64"/>
      <c r="N26" s="64"/>
      <c r="O26" s="64"/>
      <c r="P26" s="64"/>
      <c r="Q26" s="64"/>
      <c r="R26" s="64"/>
      <c r="S26" s="64"/>
    </row>
    <row r="27" spans="3:18" ht="14.25">
      <c r="C27" s="78"/>
      <c r="D27" s="64"/>
      <c r="F27" s="66"/>
      <c r="L27" s="69"/>
      <c r="M27" s="69"/>
      <c r="N27" s="69"/>
      <c r="O27" s="69"/>
      <c r="P27" s="69"/>
      <c r="Q27" s="68"/>
      <c r="R27" s="64"/>
    </row>
    <row r="28" spans="3:18" ht="14.25">
      <c r="C28" s="78"/>
      <c r="D28" s="64"/>
      <c r="F28" s="66"/>
      <c r="L28" s="69"/>
      <c r="M28" s="69"/>
      <c r="N28" s="69"/>
      <c r="O28" s="69"/>
      <c r="P28" s="69"/>
      <c r="Q28" s="68"/>
      <c r="R28" s="64"/>
    </row>
    <row r="29" spans="3:18" ht="14.25">
      <c r="C29" s="78"/>
      <c r="D29" s="64"/>
      <c r="L29" s="69"/>
      <c r="M29" s="69"/>
      <c r="N29" s="69"/>
      <c r="O29" s="69"/>
      <c r="P29" s="69"/>
      <c r="Q29" s="64"/>
      <c r="R29" s="64"/>
    </row>
    <row r="30" spans="3:18" ht="14.25">
      <c r="C30" s="78"/>
      <c r="D30" s="64"/>
      <c r="L30" s="69"/>
      <c r="M30" s="69"/>
      <c r="N30" s="69"/>
      <c r="O30" s="69"/>
      <c r="P30" s="69"/>
      <c r="Q30" s="68"/>
      <c r="R30" s="64"/>
    </row>
    <row r="31" spans="12:18" ht="12.75">
      <c r="L31" s="69"/>
      <c r="M31" s="64"/>
      <c r="N31" s="64"/>
      <c r="O31" s="64"/>
      <c r="P31" s="64"/>
      <c r="Q31" s="68"/>
      <c r="R31" s="64"/>
    </row>
    <row r="32" spans="12:18" ht="12.75">
      <c r="L32" s="69"/>
      <c r="M32" s="66"/>
      <c r="N32" s="66"/>
      <c r="O32" s="66"/>
      <c r="P32" s="66"/>
      <c r="Q32" s="68"/>
      <c r="R32" s="64"/>
    </row>
    <row r="33" spans="12:18" ht="12.75">
      <c r="L33" s="69"/>
      <c r="M33" s="69"/>
      <c r="N33" s="69"/>
      <c r="O33" s="69"/>
      <c r="P33" s="69"/>
      <c r="Q33" s="68"/>
      <c r="R33" s="64"/>
    </row>
    <row r="34" spans="12:18" ht="12.75">
      <c r="L34" s="69"/>
      <c r="M34" s="69"/>
      <c r="N34" s="69"/>
      <c r="O34" s="69"/>
      <c r="P34" s="69"/>
      <c r="Q34" s="68"/>
      <c r="R34" s="64"/>
    </row>
    <row r="35" spans="12:18" ht="12.75">
      <c r="L35" s="69"/>
      <c r="M35" s="69"/>
      <c r="N35" s="69"/>
      <c r="O35" s="69"/>
      <c r="P35" s="69"/>
      <c r="Q35" s="68"/>
      <c r="R35" s="64"/>
    </row>
    <row r="36" spans="13:16" ht="12.75">
      <c r="M36" s="69"/>
      <c r="N36" s="69"/>
      <c r="O36" s="69"/>
      <c r="P36" s="69"/>
    </row>
    <row r="37" spans="13:16" ht="12.75">
      <c r="M37" s="69"/>
      <c r="N37" s="69"/>
      <c r="O37" s="69"/>
      <c r="P37" s="69"/>
    </row>
    <row r="38" spans="13:16" ht="12.75">
      <c r="M38" s="69"/>
      <c r="N38" s="69"/>
      <c r="O38" s="69"/>
      <c r="P38" s="69"/>
    </row>
  </sheetData>
  <sheetProtection/>
  <mergeCells count="39">
    <mergeCell ref="B5:G5"/>
    <mergeCell ref="H5:M5"/>
    <mergeCell ref="M6:M7"/>
    <mergeCell ref="N5:S5"/>
    <mergeCell ref="S6:S7"/>
    <mergeCell ref="X14:Y14"/>
    <mergeCell ref="V14:W14"/>
    <mergeCell ref="T14:U14"/>
    <mergeCell ref="L6:L7"/>
    <mergeCell ref="N6:N7"/>
    <mergeCell ref="A16:A18"/>
    <mergeCell ref="A19:E19"/>
    <mergeCell ref="R3:S3"/>
    <mergeCell ref="O6:O7"/>
    <mergeCell ref="P6:Q6"/>
    <mergeCell ref="R6:R7"/>
    <mergeCell ref="A14:A15"/>
    <mergeCell ref="B14:B15"/>
    <mergeCell ref="J14:K14"/>
    <mergeCell ref="J6:K6"/>
    <mergeCell ref="D6:E6"/>
    <mergeCell ref="F6:F7"/>
    <mergeCell ref="H6:H7"/>
    <mergeCell ref="I6:I7"/>
    <mergeCell ref="C14:C15"/>
    <mergeCell ref="D14:E14"/>
    <mergeCell ref="F14:G14"/>
    <mergeCell ref="H14:I14"/>
    <mergeCell ref="G6:G7"/>
    <mergeCell ref="Z14:AA14"/>
    <mergeCell ref="A1:S1"/>
    <mergeCell ref="A2:I2"/>
    <mergeCell ref="A5:A7"/>
    <mergeCell ref="B6:B7"/>
    <mergeCell ref="P14:Q14"/>
    <mergeCell ref="L14:M14"/>
    <mergeCell ref="N14:O14"/>
    <mergeCell ref="R14:S14"/>
    <mergeCell ref="C6:C7"/>
  </mergeCells>
  <printOptions horizontalCentered="1" verticalCentered="1"/>
  <pageMargins left="0.3937007874015748" right="0.3937007874015748" top="0.3937007874015748" bottom="0.1968503937007874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zoomScale="60" zoomScaleNormal="6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J26" sqref="J26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37.25390625" style="0" customWidth="1"/>
    <col min="4" max="4" width="10.25390625" style="0" customWidth="1"/>
    <col min="5" max="5" width="15.75390625" style="0" customWidth="1"/>
    <col min="6" max="6" width="9.625" style="0" customWidth="1"/>
    <col min="7" max="7" width="13.625" style="0" customWidth="1"/>
    <col min="8" max="8" width="10.125" style="0" customWidth="1"/>
    <col min="9" max="9" width="15.625" style="0" customWidth="1"/>
    <col min="10" max="10" width="10.875" style="0" bestFit="1" customWidth="1"/>
    <col min="11" max="11" width="14.375" style="0" customWidth="1"/>
    <col min="12" max="12" width="8.25390625" style="1" customWidth="1"/>
    <col min="13" max="13" width="13.375" style="0" bestFit="1" customWidth="1"/>
    <col min="14" max="14" width="9.375" style="2" customWidth="1"/>
    <col min="15" max="15" width="16.75390625" style="3" bestFit="1" customWidth="1"/>
    <col min="16" max="16" width="14.00390625" style="0" customWidth="1"/>
    <col min="17" max="18" width="16.00390625" style="0" customWidth="1"/>
    <col min="19" max="19" width="17.625" style="0" customWidth="1"/>
    <col min="21" max="21" width="14.625" style="0" customWidth="1"/>
  </cols>
  <sheetData>
    <row r="1" spans="1:18" ht="28.5" customHeight="1">
      <c r="A1" s="11"/>
      <c r="B1" s="414" t="s">
        <v>0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</row>
    <row r="2" spans="2:18" ht="27.75" customHeight="1">
      <c r="B2" s="116"/>
      <c r="C2" s="116"/>
      <c r="D2" s="116"/>
      <c r="E2" s="116"/>
      <c r="F2" s="116"/>
      <c r="G2" s="116"/>
      <c r="H2" s="116"/>
      <c r="I2" s="117" t="s">
        <v>80</v>
      </c>
      <c r="J2" s="116"/>
      <c r="K2" s="116"/>
      <c r="L2" s="116"/>
      <c r="M2" s="116"/>
      <c r="N2" s="116"/>
      <c r="O2" s="116"/>
      <c r="P2" s="116"/>
      <c r="Q2" s="120" t="s">
        <v>82</v>
      </c>
      <c r="R2" s="211">
        <f>'9.Департамент'!E3</f>
        <v>40962</v>
      </c>
    </row>
    <row r="3" spans="1:18" ht="15">
      <c r="A3" s="4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5"/>
      <c r="M3" s="4"/>
      <c r="N3" s="6" t="s">
        <v>2</v>
      </c>
      <c r="O3" s="7"/>
      <c r="P3" s="4"/>
      <c r="Q3" s="4"/>
      <c r="R3" s="4"/>
    </row>
    <row r="4" spans="1:26" ht="20.25" customHeight="1">
      <c r="A4" s="415" t="s">
        <v>4</v>
      </c>
      <c r="B4" s="415" t="s">
        <v>10</v>
      </c>
      <c r="C4" s="415" t="s">
        <v>5</v>
      </c>
      <c r="D4" s="415" t="s">
        <v>310</v>
      </c>
      <c r="E4" s="415"/>
      <c r="F4" s="420" t="s">
        <v>279</v>
      </c>
      <c r="G4" s="421"/>
      <c r="H4" s="418" t="s">
        <v>248</v>
      </c>
      <c r="I4" s="419"/>
      <c r="J4" s="415" t="s">
        <v>8</v>
      </c>
      <c r="K4" s="415"/>
      <c r="L4" s="415" t="s">
        <v>7</v>
      </c>
      <c r="M4" s="415"/>
      <c r="N4" s="416" t="s">
        <v>3</v>
      </c>
      <c r="O4" s="416"/>
      <c r="P4" s="430" t="s">
        <v>19</v>
      </c>
      <c r="Q4" s="417" t="s">
        <v>20</v>
      </c>
      <c r="R4" s="417"/>
      <c r="S4" s="415" t="s">
        <v>17</v>
      </c>
      <c r="T4" s="418" t="s">
        <v>248</v>
      </c>
      <c r="U4" s="419"/>
      <c r="V4" s="258">
        <v>0</v>
      </c>
      <c r="W4" s="434" t="s">
        <v>253</v>
      </c>
      <c r="X4" s="434"/>
      <c r="Y4" s="434"/>
      <c r="Z4" s="434"/>
    </row>
    <row r="5" spans="1:26" ht="17.25" customHeight="1">
      <c r="A5" s="415"/>
      <c r="B5" s="415"/>
      <c r="C5" s="415"/>
      <c r="D5" s="415"/>
      <c r="E5" s="415"/>
      <c r="F5" s="422">
        <f>H5</f>
        <v>40962</v>
      </c>
      <c r="G5" s="423"/>
      <c r="H5" s="422">
        <f>R2</f>
        <v>40962</v>
      </c>
      <c r="I5" s="423"/>
      <c r="J5" s="415"/>
      <c r="K5" s="415"/>
      <c r="L5" s="415"/>
      <c r="M5" s="415"/>
      <c r="N5" s="416"/>
      <c r="O5" s="416"/>
      <c r="P5" s="431"/>
      <c r="Q5" s="417"/>
      <c r="R5" s="417"/>
      <c r="S5" s="415"/>
      <c r="T5" s="422">
        <v>40908</v>
      </c>
      <c r="U5" s="423"/>
      <c r="W5" s="434"/>
      <c r="X5" s="434"/>
      <c r="Y5" s="434"/>
      <c r="Z5" s="434"/>
    </row>
    <row r="6" spans="1:26" ht="25.5" customHeight="1">
      <c r="A6" s="415"/>
      <c r="B6" s="415"/>
      <c r="C6" s="415"/>
      <c r="D6" s="8" t="s">
        <v>6</v>
      </c>
      <c r="E6" s="8" t="s">
        <v>21</v>
      </c>
      <c r="F6" s="16" t="s">
        <v>6</v>
      </c>
      <c r="G6" s="16" t="s">
        <v>21</v>
      </c>
      <c r="H6" s="16" t="s">
        <v>6</v>
      </c>
      <c r="I6" s="16" t="s">
        <v>21</v>
      </c>
      <c r="J6" s="8" t="s">
        <v>6</v>
      </c>
      <c r="K6" s="8" t="s">
        <v>21</v>
      </c>
      <c r="L6" s="9" t="s">
        <v>6</v>
      </c>
      <c r="M6" s="8" t="s">
        <v>21</v>
      </c>
      <c r="N6" s="19" t="s">
        <v>6</v>
      </c>
      <c r="O6" s="20" t="s">
        <v>21</v>
      </c>
      <c r="P6" s="17" t="s">
        <v>18</v>
      </c>
      <c r="Q6" s="18" t="s">
        <v>6</v>
      </c>
      <c r="R6" s="18" t="s">
        <v>21</v>
      </c>
      <c r="S6" s="415"/>
      <c r="T6" s="16" t="s">
        <v>6</v>
      </c>
      <c r="U6" s="16" t="s">
        <v>21</v>
      </c>
      <c r="W6" s="434"/>
      <c r="X6" s="434"/>
      <c r="Y6" s="434"/>
      <c r="Z6" s="434"/>
    </row>
    <row r="7" spans="1:21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225">
        <v>19</v>
      </c>
      <c r="T7" s="226"/>
      <c r="U7" s="226"/>
    </row>
    <row r="8" spans="1:26" s="12" customFormat="1" ht="39.75" customHeight="1">
      <c r="A8" s="432" t="s">
        <v>14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227"/>
      <c r="U8" s="227"/>
      <c r="V8"/>
      <c r="W8"/>
      <c r="X8"/>
      <c r="Y8"/>
      <c r="Z8"/>
    </row>
    <row r="9" spans="1:26" s="12" customFormat="1" ht="22.5" customHeight="1">
      <c r="A9" s="427">
        <v>1</v>
      </c>
      <c r="B9" s="424" t="s">
        <v>15</v>
      </c>
      <c r="C9" s="13" t="s">
        <v>11</v>
      </c>
      <c r="D9" s="14">
        <f>'5.Выпол.работ'!C11</f>
        <v>100.8</v>
      </c>
      <c r="E9" s="14">
        <f>'5.Выпол.работ'!D11</f>
        <v>54.3007</v>
      </c>
      <c r="F9" s="14"/>
      <c r="G9" s="219">
        <f>(E9/D9)*F9</f>
        <v>0</v>
      </c>
      <c r="H9" s="219">
        <f>J9-T9</f>
        <v>0</v>
      </c>
      <c r="I9" s="219"/>
      <c r="J9" s="219">
        <f>'5.Выпол.работ'!F11</f>
        <v>0</v>
      </c>
      <c r="K9" s="219">
        <f>'5.Выпол.работ'!G11</f>
        <v>0</v>
      </c>
      <c r="L9" s="219">
        <f>'5.Выпол.работ'!H11</f>
        <v>0</v>
      </c>
      <c r="M9" s="219">
        <f>'5.Выпол.работ'!I11</f>
        <v>0</v>
      </c>
      <c r="N9" s="14">
        <f>D9-J9</f>
        <v>100.8</v>
      </c>
      <c r="O9" s="232">
        <f>E9-I9</f>
        <v>54.3007</v>
      </c>
      <c r="P9" s="14"/>
      <c r="Q9" s="14"/>
      <c r="R9" s="14"/>
      <c r="S9" s="224"/>
      <c r="T9" s="228"/>
      <c r="U9" s="228"/>
      <c r="V9"/>
      <c r="W9"/>
      <c r="X9"/>
      <c r="Y9"/>
      <c r="Z9"/>
    </row>
    <row r="10" spans="1:26" s="12" customFormat="1" ht="42" customHeight="1">
      <c r="A10" s="428"/>
      <c r="B10" s="425"/>
      <c r="C10" s="13" t="s">
        <v>12</v>
      </c>
      <c r="D10" s="219">
        <f>'5.Выпол.работ'!C12</f>
        <v>62.52</v>
      </c>
      <c r="E10" s="14">
        <f>'5.Выпол.работ'!D12</f>
        <v>58.2578</v>
      </c>
      <c r="F10" s="219"/>
      <c r="G10" s="219">
        <f>(E10/D10)*F10</f>
        <v>0</v>
      </c>
      <c r="H10" s="219">
        <f>J10-T10</f>
        <v>-39.93</v>
      </c>
      <c r="I10" s="219">
        <f>(E10/D10)*H10</f>
        <v>-37.207836756238</v>
      </c>
      <c r="J10" s="219">
        <f>'5.Выпол.работ'!F12</f>
        <v>0</v>
      </c>
      <c r="K10" s="219">
        <f>'5.Выпол.работ'!G12</f>
        <v>0</v>
      </c>
      <c r="L10" s="219">
        <f>'5.Выпол.работ'!H12</f>
        <v>0</v>
      </c>
      <c r="M10" s="219">
        <f>'5.Выпол.работ'!I12</f>
        <v>0</v>
      </c>
      <c r="N10" s="14">
        <f>D10-J10</f>
        <v>62.52</v>
      </c>
      <c r="O10" s="219">
        <f>E10-I10</f>
        <v>95.46563675623801</v>
      </c>
      <c r="P10" s="14">
        <f>J10/D10*100</f>
        <v>0</v>
      </c>
      <c r="Q10" s="219">
        <f>'9.Департамент'!J14</f>
        <v>0</v>
      </c>
      <c r="R10" s="223"/>
      <c r="S10" s="224"/>
      <c r="T10" s="228">
        <v>39.93</v>
      </c>
      <c r="U10" s="295">
        <v>32.82</v>
      </c>
      <c r="V10" s="436" t="s">
        <v>254</v>
      </c>
      <c r="W10" s="437"/>
      <c r="X10" s="437"/>
      <c r="Y10" s="437"/>
      <c r="Z10"/>
    </row>
    <row r="11" spans="1:26" s="12" customFormat="1" ht="37.5" customHeight="1">
      <c r="A11" s="428"/>
      <c r="B11" s="425"/>
      <c r="C11" s="13" t="s">
        <v>318</v>
      </c>
      <c r="D11" s="219">
        <f>'5.Выпол.работ'!C13</f>
        <v>62.45</v>
      </c>
      <c r="E11" s="14">
        <f>'5.Выпол.работ'!D13</f>
        <v>74.16036</v>
      </c>
      <c r="F11" s="219"/>
      <c r="G11" s="219">
        <f>(E11/D11)*F11</f>
        <v>0</v>
      </c>
      <c r="H11" s="219">
        <f>J11-T11</f>
        <v>-40.01</v>
      </c>
      <c r="I11" s="219">
        <f>(E11/D11)*H11</f>
        <v>-47.51250606244995</v>
      </c>
      <c r="J11" s="219">
        <f>'5.Выпол.работ'!F13</f>
        <v>0</v>
      </c>
      <c r="K11" s="219">
        <f>'5.Выпол.работ'!G13</f>
        <v>0</v>
      </c>
      <c r="L11" s="219">
        <f>'5.Выпол.работ'!H13</f>
        <v>0</v>
      </c>
      <c r="M11" s="219">
        <f>'5.Выпол.работ'!I13</f>
        <v>0</v>
      </c>
      <c r="N11" s="14">
        <f>D11-J11</f>
        <v>62.45</v>
      </c>
      <c r="O11" s="219">
        <f>E11-I11</f>
        <v>121.67286606244994</v>
      </c>
      <c r="P11" s="14">
        <f>J11/D11*100</f>
        <v>0</v>
      </c>
      <c r="Q11" s="219">
        <f>'9.Департамент'!J13</f>
        <v>0</v>
      </c>
      <c r="R11" s="223"/>
      <c r="S11" s="224"/>
      <c r="T11" s="228">
        <v>40.01</v>
      </c>
      <c r="U11" s="228">
        <v>50.26</v>
      </c>
      <c r="V11" s="436"/>
      <c r="W11" s="437"/>
      <c r="X11" s="437"/>
      <c r="Y11" s="437"/>
      <c r="Z11"/>
    </row>
    <row r="12" spans="1:26" s="12" customFormat="1" ht="42.75" customHeight="1">
      <c r="A12" s="428"/>
      <c r="B12" s="425"/>
      <c r="C12" s="13" t="s">
        <v>319</v>
      </c>
      <c r="D12" s="219">
        <f>'5.Выпол.работ'!C14</f>
        <v>61.8</v>
      </c>
      <c r="E12" s="14">
        <f>'5.Выпол.работ'!D14</f>
        <v>98.01675</v>
      </c>
      <c r="F12" s="219"/>
      <c r="G12" s="219">
        <f>(E12/D12)*F12</f>
        <v>0</v>
      </c>
      <c r="H12" s="219">
        <f>J12-T12</f>
        <v>-40.75</v>
      </c>
      <c r="I12" s="219">
        <f>(E12/D12)*H12</f>
        <v>-64.63078580097088</v>
      </c>
      <c r="J12" s="219">
        <f>'5.Выпол.работ'!F14</f>
        <v>0</v>
      </c>
      <c r="K12" s="219">
        <f>'5.Выпол.работ'!G14</f>
        <v>0</v>
      </c>
      <c r="L12" s="219">
        <f>'5.Выпол.работ'!H14</f>
        <v>0</v>
      </c>
      <c r="M12" s="219">
        <f>'5.Выпол.работ'!I14</f>
        <v>0</v>
      </c>
      <c r="N12" s="14">
        <f>D12-J12</f>
        <v>61.8</v>
      </c>
      <c r="O12" s="219">
        <f>E12-I12</f>
        <v>162.6475358009709</v>
      </c>
      <c r="P12" s="14">
        <f>J12/D12*100</f>
        <v>0</v>
      </c>
      <c r="Q12" s="219">
        <f>'9.Департамент'!J12</f>
        <v>0</v>
      </c>
      <c r="R12" s="219"/>
      <c r="S12" s="224"/>
      <c r="T12" s="228">
        <v>40.75</v>
      </c>
      <c r="U12" s="228">
        <v>66.69</v>
      </c>
      <c r="V12" s="436"/>
      <c r="W12" s="437"/>
      <c r="X12" s="437"/>
      <c r="Y12" s="437"/>
      <c r="Z12"/>
    </row>
    <row r="13" spans="1:26" s="12" customFormat="1" ht="37.5" customHeight="1">
      <c r="A13" s="428"/>
      <c r="B13" s="425"/>
      <c r="C13" s="13" t="s">
        <v>320</v>
      </c>
      <c r="D13" s="219">
        <f>'5.Выпол.работ'!C15</f>
        <v>60.05</v>
      </c>
      <c r="E13" s="14">
        <f>'5.Выпол.работ'!D15</f>
        <v>208.76904</v>
      </c>
      <c r="F13" s="219"/>
      <c r="G13" s="219">
        <f>(E13/D13)*F13</f>
        <v>0</v>
      </c>
      <c r="H13" s="219">
        <f>J13-T13</f>
        <v>-44.5</v>
      </c>
      <c r="I13" s="219">
        <f>(E13/D13)*H13</f>
        <v>-154.70811457119066</v>
      </c>
      <c r="J13" s="219">
        <f>'5.Выпол.работ'!F15</f>
        <v>0</v>
      </c>
      <c r="K13" s="219">
        <f>'5.Выпол.работ'!G15</f>
        <v>0</v>
      </c>
      <c r="L13" s="219">
        <f>'5.Выпол.работ'!H15</f>
        <v>0</v>
      </c>
      <c r="M13" s="219">
        <f>'5.Выпол.работ'!I15</f>
        <v>0</v>
      </c>
      <c r="N13" s="14">
        <f>D13-J13</f>
        <v>60.05</v>
      </c>
      <c r="O13" s="219">
        <f>E13-I13</f>
        <v>363.4771545711907</v>
      </c>
      <c r="P13" s="14">
        <f>J13/D13*100</f>
        <v>0</v>
      </c>
      <c r="Q13" s="219">
        <f>'9.Департамент'!J11</f>
        <v>0</v>
      </c>
      <c r="R13" s="219"/>
      <c r="S13" s="224"/>
      <c r="T13" s="228">
        <v>44.5</v>
      </c>
      <c r="U13" s="228">
        <v>157.47</v>
      </c>
      <c r="V13" s="436"/>
      <c r="W13" s="437"/>
      <c r="X13" s="437"/>
      <c r="Y13" s="437"/>
      <c r="Z13"/>
    </row>
    <row r="14" spans="1:26" s="12" customFormat="1" ht="22.5" customHeight="1">
      <c r="A14" s="429"/>
      <c r="B14" s="426"/>
      <c r="C14" s="13" t="s">
        <v>246</v>
      </c>
      <c r="D14" s="14"/>
      <c r="E14" s="14">
        <f>'5.Выпол.работ'!D16</f>
        <v>1251.88</v>
      </c>
      <c r="F14" s="14"/>
      <c r="G14" s="14">
        <f>'9.Департамент'!E9</f>
        <v>0</v>
      </c>
      <c r="H14" s="219"/>
      <c r="I14" s="219">
        <f>K14-U14</f>
        <v>-822.7399999999998</v>
      </c>
      <c r="J14" s="14"/>
      <c r="K14" s="219">
        <f>'5.Выпол.работ'!G16</f>
        <v>415.0300000000002</v>
      </c>
      <c r="L14" s="14"/>
      <c r="M14" s="219">
        <f>'5.Выпол.работ'!I16</f>
        <v>6.4</v>
      </c>
      <c r="N14" s="14"/>
      <c r="O14" s="14">
        <f>E14-K14</f>
        <v>836.8499999999999</v>
      </c>
      <c r="P14" s="14">
        <f>K14/E14*100</f>
        <v>33.15253858197272</v>
      </c>
      <c r="Q14" s="14"/>
      <c r="R14" s="219">
        <f>'9.Департамент'!K9</f>
        <v>12.306617647058822</v>
      </c>
      <c r="S14" s="224"/>
      <c r="T14" s="228"/>
      <c r="U14" s="228">
        <v>1237.77</v>
      </c>
      <c r="V14" s="435" t="s">
        <v>255</v>
      </c>
      <c r="W14" s="435"/>
      <c r="X14" s="435"/>
      <c r="Y14" s="435"/>
      <c r="Z14"/>
    </row>
  </sheetData>
  <sheetProtection/>
  <mergeCells count="23">
    <mergeCell ref="W4:Z6"/>
    <mergeCell ref="H5:I5"/>
    <mergeCell ref="D4:E5"/>
    <mergeCell ref="V14:Y14"/>
    <mergeCell ref="V10:Y13"/>
    <mergeCell ref="T4:U4"/>
    <mergeCell ref="T5:U5"/>
    <mergeCell ref="B9:B14"/>
    <mergeCell ref="A9:A14"/>
    <mergeCell ref="A4:A6"/>
    <mergeCell ref="B4:B6"/>
    <mergeCell ref="P4:P5"/>
    <mergeCell ref="A8:S8"/>
    <mergeCell ref="S4:S6"/>
    <mergeCell ref="B1:R1"/>
    <mergeCell ref="J4:K5"/>
    <mergeCell ref="L4:M5"/>
    <mergeCell ref="N4:O5"/>
    <mergeCell ref="C4:C6"/>
    <mergeCell ref="Q4:R5"/>
    <mergeCell ref="H4:I4"/>
    <mergeCell ref="F4:G4"/>
    <mergeCell ref="F5:G5"/>
  </mergeCells>
  <printOptions/>
  <pageMargins left="0.3937007874015748" right="0.1968503937007874" top="0.3937007874015748" bottom="0.1968503937007874" header="0.15748031496062992" footer="0.5118110236220472"/>
  <pageSetup fitToHeight="0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70" zoomScaleNormal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O2" sqref="O2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37.25390625" style="0" customWidth="1"/>
    <col min="4" max="4" width="10.25390625" style="0" customWidth="1"/>
    <col min="5" max="5" width="15.75390625" style="0" customWidth="1"/>
    <col min="6" max="6" width="9.625" style="0" customWidth="1"/>
    <col min="7" max="7" width="13.625" style="0" customWidth="1"/>
    <col min="8" max="8" width="10.125" style="0" customWidth="1"/>
    <col min="9" max="9" width="12.00390625" style="0" customWidth="1"/>
    <col min="10" max="10" width="10.875" style="0" bestFit="1" customWidth="1"/>
    <col min="11" max="11" width="14.25390625" style="0" customWidth="1"/>
    <col min="12" max="12" width="9.375" style="0" customWidth="1"/>
    <col min="13" max="13" width="13.125" style="0" customWidth="1"/>
    <col min="14" max="14" width="9.375" style="2" customWidth="1"/>
    <col min="15" max="15" width="16.75390625" style="3" bestFit="1" customWidth="1"/>
    <col min="16" max="16" width="14.00390625" style="0" customWidth="1"/>
    <col min="18" max="18" width="13.75390625" style="0" customWidth="1"/>
  </cols>
  <sheetData>
    <row r="1" spans="1:16" ht="28.5" customHeight="1">
      <c r="A1" s="11"/>
      <c r="C1" s="116"/>
      <c r="D1" s="116"/>
      <c r="E1" s="116"/>
      <c r="F1" s="116"/>
      <c r="G1" s="117" t="s">
        <v>0</v>
      </c>
      <c r="H1" s="116"/>
      <c r="I1" s="116"/>
      <c r="J1" s="116"/>
      <c r="K1" s="116"/>
      <c r="L1" s="116"/>
      <c r="M1" s="116"/>
      <c r="N1" s="116"/>
      <c r="O1" s="116"/>
      <c r="P1" s="116"/>
    </row>
    <row r="2" spans="2:16" ht="27.75" customHeight="1">
      <c r="B2" s="116"/>
      <c r="C2" s="116"/>
      <c r="D2" s="116"/>
      <c r="E2" s="116"/>
      <c r="F2" s="116"/>
      <c r="G2" s="117" t="s">
        <v>80</v>
      </c>
      <c r="H2" s="116"/>
      <c r="I2" s="116"/>
      <c r="J2" s="116"/>
      <c r="K2" s="116"/>
      <c r="L2" s="116"/>
      <c r="M2" s="116"/>
      <c r="N2" s="120" t="s">
        <v>82</v>
      </c>
      <c r="O2" s="212">
        <f>'9.Департамент'!E3</f>
        <v>40962</v>
      </c>
      <c r="P2" s="116"/>
    </row>
    <row r="3" spans="1:16" ht="15">
      <c r="A3" s="4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 t="s">
        <v>2</v>
      </c>
      <c r="O3" s="7"/>
      <c r="P3" s="4"/>
    </row>
    <row r="4" spans="1:18" ht="20.25" customHeight="1">
      <c r="A4" s="430" t="s">
        <v>4</v>
      </c>
      <c r="B4" s="430" t="s">
        <v>10</v>
      </c>
      <c r="C4" s="430" t="s">
        <v>5</v>
      </c>
      <c r="D4" s="441" t="s">
        <v>310</v>
      </c>
      <c r="E4" s="442"/>
      <c r="F4" s="449" t="s">
        <v>279</v>
      </c>
      <c r="G4" s="450"/>
      <c r="H4" s="449" t="s">
        <v>249</v>
      </c>
      <c r="I4" s="450"/>
      <c r="J4" s="441" t="s">
        <v>7</v>
      </c>
      <c r="K4" s="442"/>
      <c r="L4" s="445" t="s">
        <v>22</v>
      </c>
      <c r="M4" s="446"/>
      <c r="N4" s="449" t="s">
        <v>3</v>
      </c>
      <c r="O4" s="450"/>
      <c r="P4" s="430" t="s">
        <v>16</v>
      </c>
      <c r="Q4" s="417" t="s">
        <v>20</v>
      </c>
      <c r="R4" s="417"/>
    </row>
    <row r="5" spans="1:18" ht="17.25" customHeight="1">
      <c r="A5" s="440"/>
      <c r="B5" s="440"/>
      <c r="C5" s="440"/>
      <c r="D5" s="443"/>
      <c r="E5" s="444"/>
      <c r="F5" s="438">
        <f>H5</f>
        <v>40962</v>
      </c>
      <c r="G5" s="439"/>
      <c r="H5" s="438">
        <f>O2</f>
        <v>40962</v>
      </c>
      <c r="I5" s="439"/>
      <c r="J5" s="443"/>
      <c r="K5" s="444"/>
      <c r="L5" s="447"/>
      <c r="M5" s="448"/>
      <c r="N5" s="451"/>
      <c r="O5" s="452"/>
      <c r="P5" s="440"/>
      <c r="Q5" s="417"/>
      <c r="R5" s="417"/>
    </row>
    <row r="6" spans="1:18" ht="36.75" customHeight="1">
      <c r="A6" s="431"/>
      <c r="B6" s="431"/>
      <c r="C6" s="431"/>
      <c r="D6" s="8" t="s">
        <v>6</v>
      </c>
      <c r="E6" s="20" t="s">
        <v>21</v>
      </c>
      <c r="F6" s="21" t="s">
        <v>6</v>
      </c>
      <c r="G6" s="20" t="s">
        <v>21</v>
      </c>
      <c r="H6" s="21" t="s">
        <v>6</v>
      </c>
      <c r="I6" s="16" t="s">
        <v>21</v>
      </c>
      <c r="J6" s="9" t="s">
        <v>6</v>
      </c>
      <c r="K6" s="20" t="s">
        <v>21</v>
      </c>
      <c r="L6" s="233" t="s">
        <v>256</v>
      </c>
      <c r="M6" s="233" t="s">
        <v>257</v>
      </c>
      <c r="N6" s="18" t="s">
        <v>6</v>
      </c>
      <c r="O6" s="20" t="s">
        <v>21</v>
      </c>
      <c r="P6" s="431"/>
      <c r="Q6" s="18" t="s">
        <v>6</v>
      </c>
      <c r="R6" s="18" t="s">
        <v>21</v>
      </c>
    </row>
    <row r="7" spans="1:18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22">
        <v>13</v>
      </c>
      <c r="N7" s="10">
        <v>14</v>
      </c>
      <c r="O7" s="10">
        <v>15</v>
      </c>
      <c r="P7" s="225">
        <v>16</v>
      </c>
      <c r="Q7" s="226"/>
      <c r="R7" s="226"/>
    </row>
    <row r="8" spans="1:18" s="12" customFormat="1" ht="39.75" customHeight="1">
      <c r="A8" s="453" t="s">
        <v>14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5"/>
      <c r="Q8" s="227"/>
      <c r="R8" s="227"/>
    </row>
    <row r="9" spans="1:18" s="12" customFormat="1" ht="27.75" customHeight="1">
      <c r="A9" s="427">
        <v>1</v>
      </c>
      <c r="B9" s="424" t="s">
        <v>15</v>
      </c>
      <c r="C9" s="13" t="s">
        <v>11</v>
      </c>
      <c r="D9" s="14">
        <f>'7.Информация  '!D9</f>
        <v>100.8</v>
      </c>
      <c r="E9" s="14">
        <f>'7.Информация  '!E9</f>
        <v>54.3007</v>
      </c>
      <c r="F9" s="14">
        <f>'7.Информация  '!F9</f>
        <v>0</v>
      </c>
      <c r="G9" s="219">
        <f>'7.Информация  '!G9</f>
        <v>0</v>
      </c>
      <c r="H9" s="219">
        <f>'7.Информация  '!J9</f>
        <v>0</v>
      </c>
      <c r="I9" s="219">
        <f>'7.Информация  '!K9</f>
        <v>0</v>
      </c>
      <c r="J9" s="219">
        <f>'7.Информация  '!L9</f>
        <v>0</v>
      </c>
      <c r="K9" s="219">
        <f>'7.Информация  '!M9</f>
        <v>0</v>
      </c>
      <c r="L9" s="219"/>
      <c r="M9" s="219">
        <f>K9-R9</f>
        <v>0</v>
      </c>
      <c r="N9" s="14">
        <f>F9-H9</f>
        <v>0</v>
      </c>
      <c r="O9" s="219">
        <f>G9-I9</f>
        <v>0</v>
      </c>
      <c r="P9" s="229"/>
      <c r="Q9" s="227"/>
      <c r="R9" s="227"/>
    </row>
    <row r="10" spans="1:18" s="12" customFormat="1" ht="27.75" customHeight="1">
      <c r="A10" s="428"/>
      <c r="B10" s="425"/>
      <c r="C10" s="13" t="s">
        <v>12</v>
      </c>
      <c r="D10" s="14">
        <f>'7.Информация  '!D10</f>
        <v>62.52</v>
      </c>
      <c r="E10" s="14">
        <f>'7.Информация  '!E10</f>
        <v>58.2578</v>
      </c>
      <c r="F10" s="14">
        <f>'7.Информация  '!F10</f>
        <v>0</v>
      </c>
      <c r="G10" s="219">
        <f>'7.Информация  '!G10</f>
        <v>0</v>
      </c>
      <c r="H10" s="219">
        <f>'7.Информация  '!J10</f>
        <v>0</v>
      </c>
      <c r="I10" s="219">
        <f>'7.Информация  '!K10</f>
        <v>0</v>
      </c>
      <c r="J10" s="219">
        <f>'7.Информация  '!L10</f>
        <v>0</v>
      </c>
      <c r="K10" s="219">
        <f>'7.Информация  '!M10</f>
        <v>0</v>
      </c>
      <c r="L10" s="219"/>
      <c r="M10" s="15" t="e">
        <f>'9.Департамент'!I14</f>
        <v>#DIV/0!</v>
      </c>
      <c r="N10" s="14">
        <f aca="true" t="shared" si="0" ref="N10:O13">D10-H10</f>
        <v>62.52</v>
      </c>
      <c r="O10" s="219">
        <f t="shared" si="0"/>
        <v>58.2578</v>
      </c>
      <c r="P10" s="229">
        <f>I10/E10*100</f>
        <v>0</v>
      </c>
      <c r="Q10" s="219">
        <f>'9.Департамент'!J14</f>
        <v>0</v>
      </c>
      <c r="R10" s="223"/>
    </row>
    <row r="11" spans="1:18" s="12" customFormat="1" ht="27.75" customHeight="1">
      <c r="A11" s="428"/>
      <c r="B11" s="425"/>
      <c r="C11" s="13" t="s">
        <v>318</v>
      </c>
      <c r="D11" s="14">
        <f>'7.Информация  '!D11</f>
        <v>62.45</v>
      </c>
      <c r="E11" s="14">
        <f>'7.Информация  '!E11</f>
        <v>74.16036</v>
      </c>
      <c r="F11" s="14">
        <f>'7.Информация  '!F11</f>
        <v>0</v>
      </c>
      <c r="G11" s="219">
        <f>'7.Информация  '!G11</f>
        <v>0</v>
      </c>
      <c r="H11" s="219">
        <f>'7.Информация  '!J11</f>
        <v>0</v>
      </c>
      <c r="I11" s="219">
        <f>'7.Информация  '!K11</f>
        <v>0</v>
      </c>
      <c r="J11" s="219">
        <f>'7.Информация  '!L11</f>
        <v>0</v>
      </c>
      <c r="K11" s="219">
        <f>'7.Информация  '!M11</f>
        <v>0</v>
      </c>
      <c r="L11" s="219"/>
      <c r="M11" s="15" t="e">
        <f>'9.Департамент'!I13</f>
        <v>#DIV/0!</v>
      </c>
      <c r="N11" s="14">
        <f t="shared" si="0"/>
        <v>62.45</v>
      </c>
      <c r="O11" s="219">
        <f t="shared" si="0"/>
        <v>74.16036</v>
      </c>
      <c r="P11" s="229">
        <f>I11/E11*100</f>
        <v>0</v>
      </c>
      <c r="Q11" s="219">
        <f>'9.Департамент'!J13</f>
        <v>0</v>
      </c>
      <c r="R11" s="223"/>
    </row>
    <row r="12" spans="1:18" s="12" customFormat="1" ht="27.75" customHeight="1">
      <c r="A12" s="428"/>
      <c r="B12" s="425"/>
      <c r="C12" s="13" t="s">
        <v>319</v>
      </c>
      <c r="D12" s="14">
        <f>'7.Информация  '!D12</f>
        <v>61.8</v>
      </c>
      <c r="E12" s="14">
        <f>'7.Информация  '!E12</f>
        <v>98.01675</v>
      </c>
      <c r="F12" s="14">
        <f>'7.Информация  '!F12</f>
        <v>0</v>
      </c>
      <c r="G12" s="219">
        <f>'7.Информация  '!G12</f>
        <v>0</v>
      </c>
      <c r="H12" s="219">
        <f>'7.Информация  '!J12</f>
        <v>0</v>
      </c>
      <c r="I12" s="219">
        <f>'7.Информация  '!K12</f>
        <v>0</v>
      </c>
      <c r="J12" s="219">
        <f>'7.Информация  '!L12</f>
        <v>0</v>
      </c>
      <c r="K12" s="219">
        <f>'7.Информация  '!M12</f>
        <v>0</v>
      </c>
      <c r="L12" s="219"/>
      <c r="M12" s="15" t="e">
        <f>'9.Департамент'!I12</f>
        <v>#DIV/0!</v>
      </c>
      <c r="N12" s="14">
        <f t="shared" si="0"/>
        <v>61.8</v>
      </c>
      <c r="O12" s="219">
        <f t="shared" si="0"/>
        <v>98.01675</v>
      </c>
      <c r="P12" s="229">
        <f>I12/E12*100</f>
        <v>0</v>
      </c>
      <c r="Q12" s="219">
        <f>'9.Департамент'!J12</f>
        <v>0</v>
      </c>
      <c r="R12" s="219"/>
    </row>
    <row r="13" spans="1:18" s="12" customFormat="1" ht="27.75" customHeight="1">
      <c r="A13" s="428"/>
      <c r="B13" s="425"/>
      <c r="C13" s="13" t="s">
        <v>321</v>
      </c>
      <c r="D13" s="14">
        <f>'7.Информация  '!D13</f>
        <v>60.05</v>
      </c>
      <c r="E13" s="14">
        <f>'7.Информация  '!E13</f>
        <v>208.76904</v>
      </c>
      <c r="F13" s="14">
        <f>'7.Информация  '!F13</f>
        <v>0</v>
      </c>
      <c r="G13" s="219">
        <f>'7.Информация  '!G13</f>
        <v>0</v>
      </c>
      <c r="H13" s="219">
        <f>'7.Информация  '!J13</f>
        <v>0</v>
      </c>
      <c r="I13" s="219">
        <f>'7.Информация  '!K13</f>
        <v>0</v>
      </c>
      <c r="J13" s="219">
        <f>'7.Информация  '!L13</f>
        <v>0</v>
      </c>
      <c r="K13" s="219">
        <f>'7.Информация  '!M13</f>
        <v>0</v>
      </c>
      <c r="L13" s="219"/>
      <c r="M13" s="15" t="e">
        <f>'9.Департамент'!I11</f>
        <v>#DIV/0!</v>
      </c>
      <c r="N13" s="14">
        <f t="shared" si="0"/>
        <v>60.05</v>
      </c>
      <c r="O13" s="219">
        <f t="shared" si="0"/>
        <v>208.76904</v>
      </c>
      <c r="P13" s="229">
        <f>I13/E13*100</f>
        <v>0</v>
      </c>
      <c r="Q13" s="219">
        <f>'9.Департамент'!J11</f>
        <v>0</v>
      </c>
      <c r="R13" s="219"/>
    </row>
    <row r="14" spans="1:18" s="12" customFormat="1" ht="27.75" customHeight="1">
      <c r="A14" s="429"/>
      <c r="B14" s="426"/>
      <c r="C14" s="13" t="s">
        <v>245</v>
      </c>
      <c r="D14" s="14"/>
      <c r="E14" s="14">
        <f>'7.Информация  '!E14</f>
        <v>1251.88</v>
      </c>
      <c r="F14" s="219"/>
      <c r="G14" s="219">
        <f>'7.Информация  '!G14</f>
        <v>0</v>
      </c>
      <c r="H14" s="219"/>
      <c r="I14" s="219">
        <f>'7.Информация  '!K14</f>
        <v>415.0300000000002</v>
      </c>
      <c r="J14" s="219"/>
      <c r="K14" s="219">
        <f>'7.Информация  '!M14</f>
        <v>6.4</v>
      </c>
      <c r="L14" s="219"/>
      <c r="M14" s="15">
        <f>'9.Департамент'!I9</f>
        <v>-33.72413216227522</v>
      </c>
      <c r="N14" s="14"/>
      <c r="O14" s="219">
        <f>E14-I14</f>
        <v>836.8499999999999</v>
      </c>
      <c r="P14" s="229">
        <f>I14/E14*100</f>
        <v>33.15253858197272</v>
      </c>
      <c r="Q14" s="14"/>
      <c r="R14" s="219">
        <f>'9.Департамент'!K9</f>
        <v>12.306617647058822</v>
      </c>
    </row>
  </sheetData>
  <sheetProtection/>
  <mergeCells count="16">
    <mergeCell ref="J4:K5"/>
    <mergeCell ref="N4:O5"/>
    <mergeCell ref="A8:P8"/>
    <mergeCell ref="P4:P6"/>
    <mergeCell ref="H4:I4"/>
    <mergeCell ref="F4:G4"/>
    <mergeCell ref="Q4:R5"/>
    <mergeCell ref="H5:I5"/>
    <mergeCell ref="A9:A14"/>
    <mergeCell ref="B9:B14"/>
    <mergeCell ref="A4:A6"/>
    <mergeCell ref="B4:B6"/>
    <mergeCell ref="C4:C6"/>
    <mergeCell ref="D4:E5"/>
    <mergeCell ref="L4:M5"/>
    <mergeCell ref="F5:G5"/>
  </mergeCells>
  <printOptions/>
  <pageMargins left="0.3937007874015748" right="0.1968503937007874" top="0.3937007874015748" bottom="0.1968503937007874" header="0.15748031496062992" footer="0.5118110236220472"/>
  <pageSetup fitToHeight="0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1">
      <selection activeCell="O3" sqref="O3"/>
    </sheetView>
  </sheetViews>
  <sheetFormatPr defaultColWidth="9.00390625" defaultRowHeight="12.75"/>
  <cols>
    <col min="1" max="1" width="37.25390625" style="0" customWidth="1"/>
    <col min="2" max="2" width="6.125" style="0" customWidth="1"/>
    <col min="3" max="3" width="7.75390625" style="0" customWidth="1"/>
    <col min="4" max="4" width="9.25390625" style="0" customWidth="1"/>
    <col min="5" max="5" width="11.875" style="0" customWidth="1"/>
    <col min="6" max="7" width="9.25390625" style="0" customWidth="1"/>
    <col min="8" max="8" width="9.00390625" style="0" customWidth="1"/>
    <col min="9" max="9" width="8.625" style="0" customWidth="1"/>
    <col min="10" max="10" width="6.25390625" style="0" customWidth="1"/>
    <col min="11" max="11" width="6.875" style="0" customWidth="1"/>
    <col min="12" max="12" width="9.375" style="0" customWidth="1"/>
    <col min="13" max="13" width="12.625" style="0" customWidth="1"/>
    <col min="14" max="14" width="10.75390625" style="0" customWidth="1"/>
    <col min="15" max="15" width="8.875" style="0" customWidth="1"/>
    <col min="16" max="16" width="6.625" style="0" customWidth="1"/>
    <col min="17" max="17" width="5.00390625" style="0" customWidth="1"/>
    <col min="18" max="18" width="9.625" style="0" customWidth="1"/>
    <col min="19" max="19" width="7.875" style="0" customWidth="1"/>
    <col min="20" max="20" width="4.125" style="0" customWidth="1"/>
    <col min="21" max="21" width="9.00390625" style="0" customWidth="1"/>
    <col min="22" max="22" width="5.75390625" style="0" customWidth="1"/>
  </cols>
  <sheetData>
    <row r="1" ht="15">
      <c r="A1" s="234" t="s">
        <v>258</v>
      </c>
    </row>
    <row r="2" spans="1:8" ht="30.75" customHeight="1">
      <c r="A2" s="469" t="s">
        <v>259</v>
      </c>
      <c r="B2" s="469"/>
      <c r="C2" s="469"/>
      <c r="D2" s="469"/>
      <c r="E2" s="469"/>
      <c r="F2" s="469"/>
      <c r="G2" s="469"/>
      <c r="H2" s="469"/>
    </row>
    <row r="3" spans="1:8" ht="15.75">
      <c r="A3" s="470" t="s">
        <v>293</v>
      </c>
      <c r="B3" s="470"/>
      <c r="C3" s="470"/>
      <c r="D3" s="470"/>
      <c r="E3" s="286">
        <v>40962</v>
      </c>
      <c r="F3" s="285"/>
      <c r="G3" s="285"/>
      <c r="H3" s="285"/>
    </row>
    <row r="4" ht="15.75">
      <c r="A4" s="296"/>
    </row>
    <row r="5" spans="1:14" ht="24.75" customHeight="1">
      <c r="A5" s="471" t="s">
        <v>260</v>
      </c>
      <c r="B5" s="467" t="s">
        <v>261</v>
      </c>
      <c r="C5" s="467" t="s">
        <v>295</v>
      </c>
      <c r="D5" s="475" t="s">
        <v>313</v>
      </c>
      <c r="E5" s="476"/>
      <c r="F5" s="476"/>
      <c r="G5" s="477"/>
      <c r="H5" s="478" t="s">
        <v>296</v>
      </c>
      <c r="I5" s="459" t="s">
        <v>322</v>
      </c>
      <c r="J5" s="462" t="s">
        <v>285</v>
      </c>
      <c r="K5" s="463"/>
      <c r="L5" s="464" t="s">
        <v>297</v>
      </c>
      <c r="M5" s="464" t="s">
        <v>314</v>
      </c>
      <c r="N5" s="235"/>
    </row>
    <row r="6" spans="1:22" ht="30" customHeight="1">
      <c r="A6" s="472"/>
      <c r="B6" s="474"/>
      <c r="C6" s="474"/>
      <c r="D6" s="467" t="s">
        <v>262</v>
      </c>
      <c r="E6" s="236" t="s">
        <v>298</v>
      </c>
      <c r="F6" s="467" t="s">
        <v>263</v>
      </c>
      <c r="G6" s="467" t="s">
        <v>299</v>
      </c>
      <c r="H6" s="479"/>
      <c r="I6" s="460"/>
      <c r="J6" s="464" t="s">
        <v>6</v>
      </c>
      <c r="K6" s="464" t="s">
        <v>286</v>
      </c>
      <c r="L6" s="465"/>
      <c r="M6" s="465"/>
      <c r="N6" s="235"/>
      <c r="O6" s="456" t="s">
        <v>324</v>
      </c>
      <c r="P6" s="456" t="s">
        <v>323</v>
      </c>
      <c r="Q6" s="456" t="s">
        <v>264</v>
      </c>
      <c r="R6" s="456" t="s">
        <v>265</v>
      </c>
      <c r="S6" s="456" t="s">
        <v>325</v>
      </c>
      <c r="U6" s="457" t="s">
        <v>305</v>
      </c>
      <c r="V6" s="458"/>
    </row>
    <row r="7" spans="1:22" ht="13.5" customHeight="1">
      <c r="A7" s="473"/>
      <c r="B7" s="468"/>
      <c r="C7" s="468"/>
      <c r="D7" s="468"/>
      <c r="E7" s="297">
        <f>E3</f>
        <v>40962</v>
      </c>
      <c r="F7" s="468"/>
      <c r="G7" s="468"/>
      <c r="H7" s="480"/>
      <c r="I7" s="461"/>
      <c r="J7" s="466"/>
      <c r="K7" s="466"/>
      <c r="L7" s="466"/>
      <c r="M7" s="466"/>
      <c r="N7" s="235"/>
      <c r="O7" s="456"/>
      <c r="P7" s="456"/>
      <c r="Q7" s="456"/>
      <c r="R7" s="456"/>
      <c r="S7" s="456"/>
      <c r="U7" s="287"/>
      <c r="V7" s="287"/>
    </row>
    <row r="8" spans="1:22" ht="12.75" customHeight="1">
      <c r="A8" s="237"/>
      <c r="B8" s="238"/>
      <c r="C8" s="298"/>
      <c r="D8" s="238"/>
      <c r="E8" s="239"/>
      <c r="F8" s="238"/>
      <c r="G8" s="299"/>
      <c r="H8" s="300"/>
      <c r="I8" s="301"/>
      <c r="J8" s="275"/>
      <c r="K8" s="275"/>
      <c r="L8" s="275"/>
      <c r="M8" s="275"/>
      <c r="O8" s="240"/>
      <c r="Q8" s="302">
        <v>23</v>
      </c>
      <c r="S8" s="303">
        <v>29</v>
      </c>
      <c r="U8" t="s">
        <v>287</v>
      </c>
      <c r="V8">
        <v>0</v>
      </c>
    </row>
    <row r="9" spans="1:22" ht="23.25" customHeight="1">
      <c r="A9" s="241" t="s">
        <v>266</v>
      </c>
      <c r="B9" s="242" t="s">
        <v>294</v>
      </c>
      <c r="C9" s="304">
        <v>2466</v>
      </c>
      <c r="D9" s="243">
        <f>'5.Выпол.работ'!D16</f>
        <v>1251.88</v>
      </c>
      <c r="E9" s="244">
        <f>P9/$S$8*$Q$8+O9</f>
        <v>0</v>
      </c>
      <c r="F9" s="257">
        <f>'5.Выпол.работ'!G16</f>
        <v>415.0300000000002</v>
      </c>
      <c r="G9" s="245" t="e">
        <f aca="true" t="shared" si="0" ref="G9:G17">F9/E9%</f>
        <v>#DIV/0!</v>
      </c>
      <c r="H9" s="305">
        <f>'5.Выпол.работ'!I16</f>
        <v>6.4</v>
      </c>
      <c r="I9" s="306">
        <f>(E9-F9)/K9</f>
        <v>-33.72413216227522</v>
      </c>
      <c r="J9" s="276"/>
      <c r="K9" s="280">
        <f>(D9-F9)/L9</f>
        <v>12.306617647058822</v>
      </c>
      <c r="L9" s="278">
        <f>V13+60</f>
        <v>68</v>
      </c>
      <c r="M9" s="279">
        <f aca="true" t="shared" si="1" ref="M9:M14">F9/D9%</f>
        <v>33.15253858197273</v>
      </c>
      <c r="O9" s="247">
        <v>0</v>
      </c>
      <c r="P9" s="314">
        <v>0</v>
      </c>
      <c r="Q9" s="248"/>
      <c r="R9" s="248">
        <f>O9+P9</f>
        <v>0</v>
      </c>
      <c r="U9" t="s">
        <v>288</v>
      </c>
      <c r="V9">
        <v>0</v>
      </c>
    </row>
    <row r="10" spans="1:22" ht="23.25" customHeight="1">
      <c r="A10" s="241" t="s">
        <v>267</v>
      </c>
      <c r="B10" s="242" t="s">
        <v>6</v>
      </c>
      <c r="C10" s="320">
        <v>100.8</v>
      </c>
      <c r="D10" s="243">
        <v>60</v>
      </c>
      <c r="E10" s="244">
        <f aca="true" t="shared" si="2" ref="E10:E17">P10/$S$8*$Q$8+O10</f>
        <v>0</v>
      </c>
      <c r="F10" s="257">
        <v>0</v>
      </c>
      <c r="G10" s="245" t="e">
        <f t="shared" si="0"/>
        <v>#DIV/0!</v>
      </c>
      <c r="H10" s="305">
        <f>'5.Выпол.работ'!I17</f>
        <v>0</v>
      </c>
      <c r="I10" s="306">
        <f>(E10-F10)/J10</f>
        <v>0</v>
      </c>
      <c r="J10" s="280">
        <f>(D10-F10)/L10</f>
        <v>4.285714285714286</v>
      </c>
      <c r="K10" s="277"/>
      <c r="L10" s="278">
        <f>V14+14</f>
        <v>14</v>
      </c>
      <c r="M10" s="279">
        <f t="shared" si="1"/>
        <v>0</v>
      </c>
      <c r="O10" s="247">
        <v>0</v>
      </c>
      <c r="P10" s="248">
        <v>0</v>
      </c>
      <c r="Q10" s="248"/>
      <c r="R10" s="248">
        <f aca="true" t="shared" si="3" ref="R10:R17">O10+P10</f>
        <v>0</v>
      </c>
      <c r="U10" t="s">
        <v>289</v>
      </c>
      <c r="V10">
        <v>0</v>
      </c>
    </row>
    <row r="11" spans="1:22" ht="23.25" customHeight="1">
      <c r="A11" s="241" t="s">
        <v>268</v>
      </c>
      <c r="B11" s="242" t="s">
        <v>6</v>
      </c>
      <c r="C11" s="320">
        <v>100.8</v>
      </c>
      <c r="D11" s="243">
        <f>'5.Выпол.работ'!C15</f>
        <v>60.05</v>
      </c>
      <c r="E11" s="244">
        <f t="shared" si="2"/>
        <v>0</v>
      </c>
      <c r="F11" s="257">
        <f>'5.Выпол.работ'!F15</f>
        <v>0</v>
      </c>
      <c r="G11" s="245" t="e">
        <f t="shared" si="0"/>
        <v>#DIV/0!</v>
      </c>
      <c r="H11" s="305">
        <f>'5.Выпол.работ'!I15</f>
        <v>0</v>
      </c>
      <c r="I11" s="306" t="e">
        <f>(E11-F11)/J11</f>
        <v>#DIV/0!</v>
      </c>
      <c r="J11" s="280">
        <v>0</v>
      </c>
      <c r="K11" s="280"/>
      <c r="L11" s="278">
        <f>V13-0</f>
        <v>8</v>
      </c>
      <c r="M11" s="279">
        <f t="shared" si="1"/>
        <v>0</v>
      </c>
      <c r="O11" s="247">
        <v>0</v>
      </c>
      <c r="P11" s="248">
        <v>0</v>
      </c>
      <c r="Q11" s="248"/>
      <c r="R11" s="248">
        <f t="shared" si="3"/>
        <v>0</v>
      </c>
      <c r="U11" t="s">
        <v>304</v>
      </c>
      <c r="V11">
        <v>0</v>
      </c>
    </row>
    <row r="12" spans="1:22" ht="23.25" customHeight="1">
      <c r="A12" s="241" t="s">
        <v>269</v>
      </c>
      <c r="B12" s="242" t="s">
        <v>6</v>
      </c>
      <c r="C12" s="320">
        <v>100.8</v>
      </c>
      <c r="D12" s="321">
        <f>'5.Выпол.работ'!C14</f>
        <v>61.8</v>
      </c>
      <c r="E12" s="244">
        <f t="shared" si="2"/>
        <v>0</v>
      </c>
      <c r="F12" s="257">
        <f>'5.Выпол.работ'!F14</f>
        <v>0</v>
      </c>
      <c r="G12" s="245" t="e">
        <f t="shared" si="0"/>
        <v>#DIV/0!</v>
      </c>
      <c r="H12" s="305">
        <f>'5.Выпол.работ'!H14</f>
        <v>0</v>
      </c>
      <c r="I12" s="306" t="e">
        <f>(E12-F12)/J12</f>
        <v>#DIV/0!</v>
      </c>
      <c r="J12" s="280">
        <v>0</v>
      </c>
      <c r="K12" s="280"/>
      <c r="L12" s="278">
        <f>V13-2</f>
        <v>6</v>
      </c>
      <c r="M12" s="279">
        <f t="shared" si="1"/>
        <v>0</v>
      </c>
      <c r="O12" s="247">
        <v>0</v>
      </c>
      <c r="P12" s="248">
        <v>0</v>
      </c>
      <c r="Q12" s="248"/>
      <c r="R12" s="248">
        <f t="shared" si="3"/>
        <v>0</v>
      </c>
      <c r="U12" t="s">
        <v>306</v>
      </c>
      <c r="V12">
        <v>31</v>
      </c>
    </row>
    <row r="13" spans="1:22" ht="23.25" customHeight="1">
      <c r="A13" s="241" t="s">
        <v>270</v>
      </c>
      <c r="B13" s="242" t="s">
        <v>6</v>
      </c>
      <c r="C13" s="320">
        <v>100.8</v>
      </c>
      <c r="D13" s="243">
        <f>'5.Выпол.работ'!C13</f>
        <v>62.45</v>
      </c>
      <c r="E13" s="244">
        <f>P13/$S$8*$Q$8+O13</f>
        <v>0</v>
      </c>
      <c r="F13" s="257">
        <f>'5.Выпол.работ'!F13</f>
        <v>0</v>
      </c>
      <c r="G13" s="245" t="e">
        <f t="shared" si="0"/>
        <v>#DIV/0!</v>
      </c>
      <c r="H13" s="305">
        <f>'5.Выпол.работ'!H13</f>
        <v>0</v>
      </c>
      <c r="I13" s="306" t="e">
        <f>(E13-F13)/J13</f>
        <v>#DIV/0!</v>
      </c>
      <c r="J13" s="280">
        <v>0</v>
      </c>
      <c r="K13" s="280"/>
      <c r="L13" s="278">
        <f>V13</f>
        <v>8</v>
      </c>
      <c r="M13" s="279">
        <f t="shared" si="1"/>
        <v>0</v>
      </c>
      <c r="O13" s="247">
        <v>0</v>
      </c>
      <c r="P13" s="248">
        <v>0</v>
      </c>
      <c r="Q13" s="248"/>
      <c r="R13" s="248">
        <f t="shared" si="3"/>
        <v>0</v>
      </c>
      <c r="V13">
        <f>SUM(V8:V12)-Q8</f>
        <v>8</v>
      </c>
    </row>
    <row r="14" spans="1:18" ht="23.25" customHeight="1">
      <c r="A14" s="241" t="s">
        <v>271</v>
      </c>
      <c r="B14" s="242" t="s">
        <v>6</v>
      </c>
      <c r="C14" s="320">
        <v>100.8</v>
      </c>
      <c r="D14" s="243">
        <f>'5.Выпол.работ'!C12</f>
        <v>62.52</v>
      </c>
      <c r="E14" s="244">
        <f t="shared" si="2"/>
        <v>0</v>
      </c>
      <c r="F14" s="257">
        <f>'5.Выпол.работ'!F12</f>
        <v>0</v>
      </c>
      <c r="G14" s="245" t="e">
        <f t="shared" si="0"/>
        <v>#DIV/0!</v>
      </c>
      <c r="H14" s="305">
        <f>'5.Выпол.работ'!H12</f>
        <v>0</v>
      </c>
      <c r="I14" s="306" t="e">
        <f>(E14-F14)/J14</f>
        <v>#DIV/0!</v>
      </c>
      <c r="J14" s="280">
        <v>0</v>
      </c>
      <c r="K14" s="280"/>
      <c r="L14" s="278">
        <f>V13</f>
        <v>8</v>
      </c>
      <c r="M14" s="279">
        <f t="shared" si="1"/>
        <v>0</v>
      </c>
      <c r="O14" s="247">
        <v>0</v>
      </c>
      <c r="P14" s="248">
        <v>0</v>
      </c>
      <c r="Q14" s="248"/>
      <c r="R14" s="248">
        <f t="shared" si="3"/>
        <v>0</v>
      </c>
    </row>
    <row r="15" spans="1:18" ht="23.25" customHeight="1">
      <c r="A15" s="241" t="s">
        <v>272</v>
      </c>
      <c r="B15" s="242" t="s">
        <v>6</v>
      </c>
      <c r="C15" s="320">
        <v>100.8</v>
      </c>
      <c r="D15" s="243">
        <f>'5.Выпол.работ'!C11</f>
        <v>100.8</v>
      </c>
      <c r="E15" s="244">
        <f t="shared" si="2"/>
        <v>0</v>
      </c>
      <c r="F15" s="257">
        <f>'5.Выпол.работ'!F11</f>
        <v>0</v>
      </c>
      <c r="G15" s="245" t="e">
        <f t="shared" si="0"/>
        <v>#DIV/0!</v>
      </c>
      <c r="H15" s="305"/>
      <c r="I15" s="307"/>
      <c r="J15" s="280"/>
      <c r="K15" s="280"/>
      <c r="L15" s="278"/>
      <c r="M15" s="279"/>
      <c r="O15" s="247">
        <v>0</v>
      </c>
      <c r="P15" s="248">
        <v>0</v>
      </c>
      <c r="Q15" s="248"/>
      <c r="R15" s="248">
        <f t="shared" si="3"/>
        <v>0</v>
      </c>
    </row>
    <row r="16" spans="1:18" ht="23.25" customHeight="1">
      <c r="A16" s="241" t="s">
        <v>273</v>
      </c>
      <c r="B16" s="242" t="s">
        <v>274</v>
      </c>
      <c r="C16" s="304">
        <v>16</v>
      </c>
      <c r="D16" s="246">
        <f>'5.Выпол.работ'!C17</f>
        <v>12.15</v>
      </c>
      <c r="E16" s="244">
        <f>P16/$S$8*$Q$8+O16</f>
        <v>0.8882758620689656</v>
      </c>
      <c r="F16" s="257">
        <f>'5.Выпол.работ'!F17</f>
        <v>0</v>
      </c>
      <c r="G16" s="245">
        <f t="shared" si="0"/>
        <v>0</v>
      </c>
      <c r="H16" s="305">
        <v>0</v>
      </c>
      <c r="I16" s="306">
        <f>(E16-F16)/J16</f>
        <v>6.068057329360012</v>
      </c>
      <c r="J16" s="280">
        <f>D16/L16</f>
        <v>0.1463855421686747</v>
      </c>
      <c r="K16" s="280"/>
      <c r="L16" s="278">
        <f>V13+75</f>
        <v>83</v>
      </c>
      <c r="M16" s="279">
        <f>F16/D16%</f>
        <v>0</v>
      </c>
      <c r="O16" s="247">
        <v>0</v>
      </c>
      <c r="P16" s="248">
        <v>1.12</v>
      </c>
      <c r="Q16" s="248"/>
      <c r="R16" s="248">
        <f t="shared" si="3"/>
        <v>1.12</v>
      </c>
    </row>
    <row r="17" spans="1:18" ht="23.25" customHeight="1">
      <c r="A17" s="249" t="s">
        <v>275</v>
      </c>
      <c r="B17" s="250" t="s">
        <v>274</v>
      </c>
      <c r="C17" s="308">
        <v>44</v>
      </c>
      <c r="D17" s="251">
        <f>'5.Выпол.работ'!C18</f>
        <v>28</v>
      </c>
      <c r="E17" s="322">
        <f t="shared" si="2"/>
        <v>0</v>
      </c>
      <c r="F17" s="257">
        <f>'5.Выпол.работ'!F18</f>
        <v>0</v>
      </c>
      <c r="G17" s="252" t="e">
        <f t="shared" si="0"/>
        <v>#DIV/0!</v>
      </c>
      <c r="H17" s="309">
        <v>0</v>
      </c>
      <c r="I17" s="306">
        <f>(E17-F17)/J17</f>
        <v>0</v>
      </c>
      <c r="J17" s="281">
        <f>D17/L17</f>
        <v>0.4117647058823529</v>
      </c>
      <c r="K17" s="281"/>
      <c r="L17" s="282">
        <f>V13+60</f>
        <v>68</v>
      </c>
      <c r="M17" s="283">
        <f>F17/D17%</f>
        <v>0</v>
      </c>
      <c r="O17" s="247">
        <v>0</v>
      </c>
      <c r="P17" s="248"/>
      <c r="Q17" s="248"/>
      <c r="R17" s="248">
        <f t="shared" si="3"/>
        <v>0</v>
      </c>
    </row>
    <row r="19" spans="1:5" ht="17.25" customHeight="1">
      <c r="A19" s="253" t="s">
        <v>276</v>
      </c>
      <c r="B19" s="284" t="s">
        <v>284</v>
      </c>
      <c r="C19" s="254">
        <v>0.95</v>
      </c>
      <c r="E19" s="255"/>
    </row>
    <row r="20" spans="1:6" ht="17.25" customHeight="1">
      <c r="A20" s="253"/>
      <c r="B20" s="284" t="s">
        <v>290</v>
      </c>
      <c r="C20" s="254">
        <v>0.9</v>
      </c>
      <c r="E20" s="310"/>
      <c r="F20" s="311"/>
    </row>
    <row r="21" spans="1:6" ht="17.25" customHeight="1">
      <c r="A21" s="253"/>
      <c r="B21" s="284" t="s">
        <v>283</v>
      </c>
      <c r="C21" s="254">
        <v>0.85</v>
      </c>
      <c r="E21" s="310"/>
      <c r="F21" s="311"/>
    </row>
    <row r="22" spans="1:6" ht="17.25" customHeight="1">
      <c r="A22" s="253"/>
      <c r="B22" s="284" t="s">
        <v>282</v>
      </c>
      <c r="C22" s="254">
        <v>0.2</v>
      </c>
      <c r="E22" s="310"/>
      <c r="F22" s="311"/>
    </row>
    <row r="23" spans="1:17" ht="17.25" customHeight="1">
      <c r="A23" s="253"/>
      <c r="B23" s="284" t="s">
        <v>281</v>
      </c>
      <c r="C23" s="254">
        <v>0.05</v>
      </c>
      <c r="E23" s="310"/>
      <c r="F23" s="311"/>
      <c r="N23">
        <v>301200</v>
      </c>
      <c r="O23">
        <f>N23/90/1000</f>
        <v>3.3466666666666667</v>
      </c>
      <c r="P23" t="s">
        <v>277</v>
      </c>
      <c r="Q23">
        <f>1.8+6.56+20</f>
        <v>28.36</v>
      </c>
    </row>
    <row r="24" spans="1:15" ht="17.25" customHeight="1">
      <c r="A24" s="253"/>
      <c r="B24" s="284" t="s">
        <v>280</v>
      </c>
      <c r="C24" s="254">
        <v>0.4</v>
      </c>
      <c r="E24" s="310"/>
      <c r="F24" s="311"/>
      <c r="N24">
        <v>133000</v>
      </c>
      <c r="O24">
        <f>N24/L12/1000</f>
        <v>22.166666666666668</v>
      </c>
    </row>
    <row r="25" spans="1:7" ht="17.25" customHeight="1">
      <c r="A25" s="253"/>
      <c r="B25" s="284" t="s">
        <v>291</v>
      </c>
      <c r="C25" s="254">
        <v>0.9</v>
      </c>
      <c r="E25" s="310"/>
      <c r="F25" s="311"/>
      <c r="G25" t="s">
        <v>292</v>
      </c>
    </row>
    <row r="26" spans="1:15" ht="15">
      <c r="A26" s="256" t="s">
        <v>301</v>
      </c>
      <c r="E26" s="310"/>
      <c r="F26" s="312"/>
      <c r="N26">
        <v>97700</v>
      </c>
      <c r="O26" s="248">
        <f>N26/L13/1000</f>
        <v>12.2125</v>
      </c>
    </row>
    <row r="27" spans="5:15" ht="12.75">
      <c r="E27" s="310"/>
      <c r="F27" s="311"/>
      <c r="N27">
        <v>69800</v>
      </c>
      <c r="O27" s="248">
        <f>N27/L14/1000</f>
        <v>8.725</v>
      </c>
    </row>
    <row r="28" spans="5:6" ht="12.75">
      <c r="E28" s="310"/>
      <c r="F28" s="313"/>
    </row>
  </sheetData>
  <sheetProtection/>
  <mergeCells count="22">
    <mergeCell ref="A2:H2"/>
    <mergeCell ref="A3:D3"/>
    <mergeCell ref="A5:A7"/>
    <mergeCell ref="B5:B7"/>
    <mergeCell ref="C5:C7"/>
    <mergeCell ref="D5:G5"/>
    <mergeCell ref="H5:H7"/>
    <mergeCell ref="I5:I7"/>
    <mergeCell ref="J5:K5"/>
    <mergeCell ref="L5:L7"/>
    <mergeCell ref="M5:M7"/>
    <mergeCell ref="D6:D7"/>
    <mergeCell ref="F6:F7"/>
    <mergeCell ref="G6:G7"/>
    <mergeCell ref="J6:J7"/>
    <mergeCell ref="K6:K7"/>
    <mergeCell ref="O6:O7"/>
    <mergeCell ref="P6:P7"/>
    <mergeCell ref="Q6:Q7"/>
    <mergeCell ref="R6:R7"/>
    <mergeCell ref="S6:S7"/>
    <mergeCell ref="U6:V6"/>
  </mergeCells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</dc:creator>
  <cp:keywords/>
  <dc:description/>
  <cp:lastModifiedBy>Karamyshev</cp:lastModifiedBy>
  <cp:lastPrinted>2011-11-19T03:20:28Z</cp:lastPrinted>
  <dcterms:created xsi:type="dcterms:W3CDTF">2009-09-01T04:16:10Z</dcterms:created>
  <dcterms:modified xsi:type="dcterms:W3CDTF">2012-02-23T04:02:45Z</dcterms:modified>
  <cp:category/>
  <cp:version/>
  <cp:contentType/>
  <cp:contentStatus/>
</cp:coreProperties>
</file>