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190" tabRatio="741" activeTab="0"/>
  </bookViews>
  <sheets>
    <sheet name="Свод" sheetId="1" r:id="rId1"/>
    <sheet name="Выполнение " sheetId="2" r:id="rId2"/>
    <sheet name="ДСМ за день" sheetId="3" r:id="rId3"/>
    <sheet name="ДСМ за неделю и месяц" sheetId="4" r:id="rId4"/>
    <sheet name="Казсодержание" sheetId="5" r:id="rId5"/>
    <sheet name="ЖБИ" sheetId="6" r:id="rId6"/>
    <sheet name="БИТУМ" sheetId="7" r:id="rId7"/>
    <sheet name="Работники " sheetId="8" r:id="rId8"/>
    <sheet name="техника" sheetId="9" r:id="rId9"/>
    <sheet name="Щебень" sheetId="10" r:id="rId10"/>
  </sheets>
  <externalReferences>
    <externalReference r:id="rId13"/>
    <externalReference r:id="rId14"/>
    <externalReference r:id="rId15"/>
  </externalReferences>
  <definedNames>
    <definedName name="Excel_BuiltIn_Print_Area_4_1" localSheetId="5">#REF!</definedName>
    <definedName name="Excel_BuiltIn_Print_Area_4_1" localSheetId="7">#REF!</definedName>
    <definedName name="Excel_BuiltIn_Print_Area_4_1" localSheetId="8">#REF!</definedName>
    <definedName name="Excel_BuiltIn_Print_Area_4_1">#REF!</definedName>
    <definedName name="_xlnm.Print_Area" localSheetId="1">'Выполнение '!$A$1:$X$53</definedName>
    <definedName name="_xlnm.Print_Area" localSheetId="2">'ДСМ за день'!$A$1:$Y$70</definedName>
    <definedName name="_xlnm.Print_Area" localSheetId="3">'ДСМ за неделю и месяц'!$A$1:$X$81</definedName>
    <definedName name="_xlnm.Print_Area" localSheetId="5">'ЖБИ'!$A$1:$AU$84</definedName>
    <definedName name="_xlnm.Print_Area" localSheetId="4">'Казсодержание'!#REF!</definedName>
    <definedName name="_xlnm.Print_Area" localSheetId="7">'Работники '!$A$1:$S$34</definedName>
    <definedName name="_xlnm.Print_Area" localSheetId="0">'Свод'!$A$1:$Y$25</definedName>
    <definedName name="_xlnm.Print_Area" localSheetId="8">'техника'!$A$1:$P$30</definedName>
  </definedNames>
  <calcPr fullCalcOnLoad="1"/>
</workbook>
</file>

<file path=xl/sharedStrings.xml><?xml version="1.0" encoding="utf-8"?>
<sst xmlns="http://schemas.openxmlformats.org/spreadsheetml/2006/main" count="1272" uniqueCount="422">
  <si>
    <t>ИНФОРМАЦИЯ</t>
  </si>
  <si>
    <t xml:space="preserve">о проделанной  работе по ЮКО области </t>
  </si>
  <si>
    <t>на</t>
  </si>
  <si>
    <t>№     п/п</t>
  </si>
  <si>
    <t>Наименование</t>
  </si>
  <si>
    <t>Единица измерения</t>
  </si>
  <si>
    <t>Всего по проекту</t>
  </si>
  <si>
    <t>План на 2012 год</t>
  </si>
  <si>
    <t>Факт на 2012 г</t>
  </si>
  <si>
    <t xml:space="preserve">в том числе </t>
  </si>
  <si>
    <t>Дена рахсаз</t>
  </si>
  <si>
    <t>Копри/Сейсер</t>
  </si>
  <si>
    <t>Поско Инжиниринг</t>
  </si>
  <si>
    <t>Корпорация Синохайдро</t>
  </si>
  <si>
    <t>Кугдонг Инжиниринг</t>
  </si>
  <si>
    <t>Азеркорпу/Тепе</t>
  </si>
  <si>
    <t>план на 2012 г</t>
  </si>
  <si>
    <t>факт</t>
  </si>
  <si>
    <t>протяженность</t>
  </si>
  <si>
    <t>км</t>
  </si>
  <si>
    <t xml:space="preserve">Снятие растительного слоя </t>
  </si>
  <si>
    <t>Устройство объездной дороги</t>
  </si>
  <si>
    <t>Устройство водопропускных труб</t>
  </si>
  <si>
    <t>шт</t>
  </si>
  <si>
    <t>Устройство земляного полотна</t>
  </si>
  <si>
    <t>тыс.м3</t>
  </si>
  <si>
    <t>Укладка геотекстиля</t>
  </si>
  <si>
    <t>Устройство подстилающего слоя             (в одом направление )</t>
  </si>
  <si>
    <t>Устройство нижнего  слоя  покрытия (в одом направление )</t>
  </si>
  <si>
    <t>Мосты</t>
  </si>
  <si>
    <t>Вывозка ГПС</t>
  </si>
  <si>
    <t>Вывозка щебня</t>
  </si>
  <si>
    <t>Песок</t>
  </si>
  <si>
    <t>Вывозка  ЖБИ</t>
  </si>
  <si>
    <t>Информация</t>
  </si>
  <si>
    <t xml:space="preserve"> </t>
  </si>
  <si>
    <t xml:space="preserve">       </t>
  </si>
  <si>
    <t>№</t>
  </si>
  <si>
    <t>Наименование подрядной организации, протяженность</t>
  </si>
  <si>
    <t>Виды работ</t>
  </si>
  <si>
    <t>План на 2012год</t>
  </si>
  <si>
    <t>Выполнено с начала года</t>
  </si>
  <si>
    <t>Выполнено  за день</t>
  </si>
  <si>
    <t>Остаток</t>
  </si>
  <si>
    <t>опер.</t>
  </si>
  <si>
    <t>отст.</t>
  </si>
  <si>
    <t xml:space="preserve">Сут. нор.          </t>
  </si>
  <si>
    <t>% вып. ук. а/б</t>
  </si>
  <si>
    <t xml:space="preserve">Еж. нор.          </t>
  </si>
  <si>
    <t xml:space="preserve">Примечание </t>
  </si>
  <si>
    <t>п/п</t>
  </si>
  <si>
    <t>Сутки</t>
  </si>
  <si>
    <t>ЮКО область</t>
  </si>
  <si>
    <t>АО ЗТ "Дена Рахсаз" 2057-2111 км,  57 км</t>
  </si>
  <si>
    <t>верхний слой щма -20, Н-5 см</t>
  </si>
  <si>
    <t>нижний слой к/з а/б, Н-10 см</t>
  </si>
  <si>
    <t>черный щебень, Н-12 см</t>
  </si>
  <si>
    <t>основание из ЩГПС, Н-20 см</t>
  </si>
  <si>
    <t>подстилающий слой, Н-26 см</t>
  </si>
  <si>
    <t>земляное полотно, м3</t>
  </si>
  <si>
    <t xml:space="preserve">СП "Копри/Сейсер"                    2111-2135 км,  24 км                           </t>
  </si>
  <si>
    <t xml:space="preserve">покрытие из ц/б, н-25 см </t>
  </si>
  <si>
    <t xml:space="preserve">основание из ЩПС, укр. цемент </t>
  </si>
  <si>
    <t>подстилающий слой</t>
  </si>
  <si>
    <t xml:space="preserve">земляное полотно (м3) </t>
  </si>
  <si>
    <t xml:space="preserve"> "Поско Инжиниринг"                 2135-2183,  48км                                 </t>
  </si>
  <si>
    <t xml:space="preserve">основание из ЩПС, обр. цемент </t>
  </si>
  <si>
    <t>земляное полотно (м3)</t>
  </si>
  <si>
    <t xml:space="preserve">"Корпорация Синохайдро"                               2183-2217 км,          34 км                        </t>
  </si>
  <si>
    <t xml:space="preserve">АО "Кугдонг Инжиниринг"                  2231-2260км, 24,6км                                                  </t>
  </si>
  <si>
    <t xml:space="preserve">покрытие из ц/б, н-27 см </t>
  </si>
  <si>
    <t xml:space="preserve">ООО "Азеркорпу/Тепе"                                 2231-674 км,  36,5км                             </t>
  </si>
  <si>
    <t>итого</t>
  </si>
  <si>
    <t>верхний слой щма а/б, Н-5 см</t>
  </si>
  <si>
    <t>высокопористый а/б, Н-12 см</t>
  </si>
  <si>
    <t>основание из ЩГПС</t>
  </si>
  <si>
    <t>подстилающий слой, Н-25 см</t>
  </si>
  <si>
    <t xml:space="preserve">План на 01.2012г. </t>
  </si>
  <si>
    <t xml:space="preserve">Международный транзитный коридор "Западная Европа-Западный Китай"   </t>
  </si>
  <si>
    <t xml:space="preserve">   Информация по заготовке материалов</t>
  </si>
  <si>
    <t>Наименование организации</t>
  </si>
  <si>
    <t>Щебень</t>
  </si>
  <si>
    <t>%</t>
  </si>
  <si>
    <t>ПГС</t>
  </si>
  <si>
    <t>ЖБИ</t>
  </si>
  <si>
    <t>ОТСЕВ</t>
  </si>
  <si>
    <t>ЦЕМЕНТ</t>
  </si>
  <si>
    <t>ед.изм.</t>
  </si>
  <si>
    <t>Факт</t>
  </si>
  <si>
    <t>остаток</t>
  </si>
  <si>
    <t>Выполнено за день</t>
  </si>
  <si>
    <t xml:space="preserve">ЮКО </t>
  </si>
  <si>
    <t>тыс.тн</t>
  </si>
  <si>
    <t>Копри/Сеисер</t>
  </si>
  <si>
    <t>Поско/Инжиниринг</t>
  </si>
  <si>
    <t>Корпорация/Синохайдро</t>
  </si>
  <si>
    <t>Кукдонг Инжиниринг</t>
  </si>
  <si>
    <t>Азеркорпу</t>
  </si>
  <si>
    <t>Битум</t>
  </si>
  <si>
    <t>Мин.порошок</t>
  </si>
  <si>
    <t>Добавка для ЩМА</t>
  </si>
  <si>
    <t>1178.92</t>
  </si>
  <si>
    <t>Наименование области</t>
  </si>
  <si>
    <t>наим.материала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</si>
  <si>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</si>
  <si>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</si>
  <si>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</si>
  <si>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</si>
  <si>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</si>
  <si>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</si>
  <si>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</si>
  <si>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</si>
  <si>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</si>
  <si>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</si>
  <si>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</si>
  <si>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</si>
  <si>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тыc.тн</t>
  </si>
  <si>
    <t>Наименование материалов</t>
  </si>
  <si>
    <t xml:space="preserve">Щебень </t>
  </si>
  <si>
    <t>Январь/January</t>
  </si>
  <si>
    <t>февраль/February</t>
  </si>
  <si>
    <t>март/March</t>
  </si>
  <si>
    <t>апрель/April</t>
  </si>
  <si>
    <t>май/May</t>
  </si>
  <si>
    <t>август/ August</t>
  </si>
  <si>
    <t>сентябрь/ September</t>
  </si>
  <si>
    <t>октябрь/ october</t>
  </si>
  <si>
    <t>ноябрь/ november</t>
  </si>
  <si>
    <t>июнь/July</t>
  </si>
  <si>
    <t>июлдь/June</t>
  </si>
  <si>
    <t xml:space="preserve">план </t>
  </si>
  <si>
    <t>Потребность на весь проект</t>
  </si>
  <si>
    <t>ед.изм</t>
  </si>
  <si>
    <t>кол-во</t>
  </si>
  <si>
    <t>Отсев</t>
  </si>
  <si>
    <t>Минеральный порошок</t>
  </si>
  <si>
    <t>Цемент</t>
  </si>
  <si>
    <t>Геосинтетические материалы</t>
  </si>
  <si>
    <t>тыс.м2</t>
  </si>
  <si>
    <t>Краска для разметки</t>
  </si>
  <si>
    <t>тн</t>
  </si>
  <si>
    <t>п/м</t>
  </si>
  <si>
    <t>Дорожные знаки</t>
  </si>
  <si>
    <t>Опоры освещения</t>
  </si>
  <si>
    <t>Целлюлозная добавка</t>
  </si>
  <si>
    <t>Дюбеля для бетонного покрытия</t>
  </si>
  <si>
    <t>Арматура для бетона</t>
  </si>
  <si>
    <t>Потребность на 2012г.  (тыс.тн.)</t>
  </si>
  <si>
    <t>Заключены договора (тыс.тн.)</t>
  </si>
  <si>
    <t>Заготовлено
(тыс. тн.)</t>
  </si>
  <si>
    <t>Остаток у подрядчика (тыс. тн.)</t>
  </si>
  <si>
    <t>Заключены договора 
(тыс.тн.)</t>
  </si>
  <si>
    <t>Поставщик</t>
  </si>
  <si>
    <t>Итого:</t>
  </si>
  <si>
    <t>Южно-Казахстанская область</t>
  </si>
  <si>
    <t xml:space="preserve">Наименование подрядчика Наименование подрядчика </t>
  </si>
  <si>
    <t xml:space="preserve">                       </t>
  </si>
  <si>
    <t xml:space="preserve">          Информация о потребности железобетонных изделий по проекту Западная Европа-Западный Китай </t>
  </si>
  <si>
    <t>Область</t>
  </si>
  <si>
    <t>Генеральный подрядчик (субподрядчик)</t>
  </si>
  <si>
    <t>Протяженность,    км</t>
  </si>
  <si>
    <t>Кольца ж/б изделий (шт/тыс.м3)</t>
  </si>
  <si>
    <t>Всего</t>
  </si>
  <si>
    <t>Балки пролетного строения,  (шт/тыс.м3)</t>
  </si>
  <si>
    <t>Плиты пролетного строения,  (шт/тыс.м3)</t>
  </si>
  <si>
    <t>Прочие ж/б изделия тыс.м3</t>
  </si>
  <si>
    <r>
      <t xml:space="preserve">Поставщика </t>
    </r>
    <r>
      <rPr>
        <b/>
        <i/>
        <sz val="14"/>
        <rFont val="Arial Cyr"/>
        <family val="0"/>
      </rPr>
      <t>(уточнить)</t>
    </r>
  </si>
  <si>
    <t>11,9м</t>
  </si>
  <si>
    <t>12м</t>
  </si>
  <si>
    <t>15м</t>
  </si>
  <si>
    <t>18м</t>
  </si>
  <si>
    <t>21м</t>
  </si>
  <si>
    <t>24м</t>
  </si>
  <si>
    <t>33м</t>
  </si>
  <si>
    <t>42м</t>
  </si>
  <si>
    <t>7,1 м</t>
  </si>
  <si>
    <t>9м</t>
  </si>
  <si>
    <t>16,76м</t>
  </si>
  <si>
    <t>19м</t>
  </si>
  <si>
    <t>2135-2183</t>
  </si>
  <si>
    <t xml:space="preserve">Уложено в 2010+2011 году </t>
  </si>
  <si>
    <t>Потребность на 2012год</t>
  </si>
  <si>
    <t>Факт. заготовлено на 2012год</t>
  </si>
  <si>
    <t>Всего остаток</t>
  </si>
  <si>
    <t>Жамбылская (всего по проекту) в.т.ч.:</t>
  </si>
  <si>
    <t>536-593</t>
  </si>
  <si>
    <t xml:space="preserve">АО "К-Дорстрой"                 </t>
  </si>
  <si>
    <t>ТОО "АЗМК (Мостспец строй" суб подряд делает</t>
  </si>
  <si>
    <t>483-536</t>
  </si>
  <si>
    <t>не определен</t>
  </si>
  <si>
    <t>261,5-310,5</t>
  </si>
  <si>
    <t>310,5-358,6</t>
  </si>
  <si>
    <t xml:space="preserve">ЖФ АО "КСС"                         </t>
  </si>
  <si>
    <t>АЗМК</t>
  </si>
  <si>
    <t>358,6-389,4</t>
  </si>
  <si>
    <t xml:space="preserve">ТОО "Казахдорстрой" </t>
  </si>
  <si>
    <t>ТОО "Керамик-Инвест" и АЗМК</t>
  </si>
  <si>
    <t>404-443</t>
  </si>
  <si>
    <t xml:space="preserve">ТОО "Казахдорстрой"            </t>
  </si>
  <si>
    <t>ТОО "Гимарат Тараз", ТОО "Керамик-Инвест"</t>
  </si>
  <si>
    <t>443-483</t>
  </si>
  <si>
    <t xml:space="preserve">ТОО "СП КСС/ЖЖК" </t>
  </si>
  <si>
    <t>АЗМК и ТОО "Гимарат Тараз"</t>
  </si>
  <si>
    <t>383-404</t>
  </si>
  <si>
    <t>210-260</t>
  </si>
  <si>
    <t xml:space="preserve">ТОО "АКМ"                          </t>
  </si>
  <si>
    <t>ТОО "АЗМК"</t>
  </si>
  <si>
    <t>162-260</t>
  </si>
  <si>
    <t>Подъезд Кыргызстана</t>
  </si>
  <si>
    <t xml:space="preserve">Итого по Жамбылской. Обл. :   Уложено в 2010+2011 году </t>
  </si>
  <si>
    <t>Всего потребность по проекту:</t>
  </si>
  <si>
    <t>факт. заготовка на 2012 год</t>
  </si>
  <si>
    <t>Заводы:</t>
  </si>
  <si>
    <t>Выпускают:</t>
  </si>
  <si>
    <t>Производительность:</t>
  </si>
  <si>
    <t>Мощность:</t>
  </si>
  <si>
    <t>Заказы:</t>
  </si>
  <si>
    <t>1. ТОО "КСМк" (г. Кызылорда)</t>
  </si>
  <si>
    <t>кольца жби (1м,1,5 м)</t>
  </si>
  <si>
    <t>1м -10 шт/сут.;              1,5м -30 шт/сут.</t>
  </si>
  <si>
    <t>3650 шт/год;                  10 950 шт/в год.</t>
  </si>
  <si>
    <t>имеются</t>
  </si>
  <si>
    <t>2. ТОО "Строй деталь" (г. Актобе)</t>
  </si>
  <si>
    <t>до 15 шт/сут.</t>
  </si>
  <si>
    <t>5475шт/в год</t>
  </si>
  <si>
    <t>ТОО "Коквест" (строят для Китайцев дороги, мосты), ТОО "Жана жол"</t>
  </si>
  <si>
    <t>балки ВТК 24,                        нагрузка А14</t>
  </si>
  <si>
    <t>1 балка /сут</t>
  </si>
  <si>
    <t>365 балок/ в год</t>
  </si>
  <si>
    <t>плиты пролетного строения - 18 м</t>
  </si>
  <si>
    <t>по 2 шт/сут.</t>
  </si>
  <si>
    <t>730 шт/ вгод</t>
  </si>
  <si>
    <r>
      <t>3. ТОО "Бергштайн"(г. Усть-Каменогорск)</t>
    </r>
    <r>
      <rPr>
        <sz val="13"/>
        <rFont val="Arial Cyr"/>
        <family val="0"/>
      </rPr>
      <t xml:space="preserve"> </t>
    </r>
  </si>
  <si>
    <t>кольца жби</t>
  </si>
  <si>
    <t>до 10 шт/сут.</t>
  </si>
  <si>
    <t>365 шт/в год</t>
  </si>
  <si>
    <t>местные, областные дороги, респуб.-по Таскескен-Бахты, мосты</t>
  </si>
  <si>
    <r>
      <t>4. ТОО "Тараз Гимарат" (г. Тараз Жамбыл. обл.)</t>
    </r>
    <r>
      <rPr>
        <sz val="13"/>
        <rFont val="Arial Cyr"/>
        <family val="0"/>
      </rPr>
      <t xml:space="preserve"> -                                                                                       </t>
    </r>
  </si>
  <si>
    <t xml:space="preserve">по 12 шт/сут.                         </t>
  </si>
  <si>
    <t>4380 шт/в год</t>
  </si>
  <si>
    <t>5. АО "Курылыс" (г. Кызылорда)</t>
  </si>
  <si>
    <t xml:space="preserve">кольца жби                 (1м,1,5 м, 2м) </t>
  </si>
  <si>
    <t>1м и 2м до 6 шт/сут.; 1,5 м до 20 шт/сут.</t>
  </si>
  <si>
    <t>по 2190 шт/ в год;   7300 шт/ в год</t>
  </si>
  <si>
    <t>местные, областные дороги и подрядные организации</t>
  </si>
  <si>
    <t>6. ТОО "Строй конструкция" (г. Астана)</t>
  </si>
  <si>
    <t>1м - 70 шт/сут,                      1,5м-50 шт/сут,                        2м- 30шт/сут</t>
  </si>
  <si>
    <t>25550 шт/в год; 18250 шт/в год; 10950 шт/в год</t>
  </si>
  <si>
    <t>заказы имеются, дополнительно принимают заказы</t>
  </si>
  <si>
    <t>365шт/в год</t>
  </si>
  <si>
    <t>7. ТОО "МО-25" им. Рязанова г. Алматы</t>
  </si>
  <si>
    <t>балки длиной -                  12м, 15м, 18м, 21м, 24м                   нагрузкой А14</t>
  </si>
  <si>
    <t>по 1 балки/сут.</t>
  </si>
  <si>
    <t>по 365 б/в год</t>
  </si>
  <si>
    <t>8. ТОО «ЖБИ-С» (ЮКО с. Аксукент)</t>
  </si>
  <si>
    <t>в настоящее время кольца жби не выпускают,  планируется с марта месяца балки длиной                          24, 33 метра</t>
  </si>
  <si>
    <t>9. АЗМК</t>
  </si>
  <si>
    <t>балки длиной -  12м, 18м, 21м, 24м,33м, УСБ.18 (крючкообразные) нагрузкой А14</t>
  </si>
  <si>
    <t>балки длиной                   12м -4шт/сут;                 18м-8 шт/сут;                21 м -2шт/сут;                24 м - 2 шт/сут;              33 м -2шт/сут.</t>
  </si>
  <si>
    <t xml:space="preserve">ориент.  12м - 960 шт/год;   18м - 1920шт/ год;  21м, 24м ,  33м -480 шт/год; </t>
  </si>
  <si>
    <t xml:space="preserve">надо указать число период недели   </t>
  </si>
  <si>
    <t>Выполнено на 2011 г (По сертификату)</t>
  </si>
  <si>
    <t xml:space="preserve">О количестве работников занятых в проекте  "Западная Европа-Западный Китай" по ЮКО </t>
  </si>
  <si>
    <t>№ п/п</t>
  </si>
  <si>
    <t xml:space="preserve">Наименование </t>
  </si>
  <si>
    <t>всего</t>
  </si>
  <si>
    <t>Генподрядчик</t>
  </si>
  <si>
    <t>Субподрядчики</t>
  </si>
  <si>
    <t>всего по Генподрядчику</t>
  </si>
  <si>
    <t>в т.ч ин. персонал</t>
  </si>
  <si>
    <t xml:space="preserve">в т.ч. Казахстан.  персонал </t>
  </si>
  <si>
    <t>в т.ч. местный персонал</t>
  </si>
  <si>
    <t>?</t>
  </si>
  <si>
    <t>на проекте</t>
  </si>
  <si>
    <t>на участке</t>
  </si>
  <si>
    <t>ИТР</t>
  </si>
  <si>
    <t>Геодезическая служба и лаборатория</t>
  </si>
  <si>
    <t>Служба качества</t>
  </si>
  <si>
    <t>Операторы и механизаторы в т.ч.</t>
  </si>
  <si>
    <t>слесари</t>
  </si>
  <si>
    <t>Разнорабочие в т.ч.</t>
  </si>
  <si>
    <t>6.1.</t>
  </si>
  <si>
    <t>дор. рабочие</t>
  </si>
  <si>
    <t>6.2.</t>
  </si>
  <si>
    <t>наемные водители</t>
  </si>
  <si>
    <t>Обслуживающий персонал в т.ч.</t>
  </si>
  <si>
    <t>7.1.</t>
  </si>
  <si>
    <t>медперсонал</t>
  </si>
  <si>
    <t>7.2.</t>
  </si>
  <si>
    <t>повара</t>
  </si>
  <si>
    <t>7.3.</t>
  </si>
  <si>
    <t>технички</t>
  </si>
  <si>
    <t>7.4.</t>
  </si>
  <si>
    <t>прачки</t>
  </si>
  <si>
    <t>7.5.</t>
  </si>
  <si>
    <t>охрана</t>
  </si>
  <si>
    <t>7.6.</t>
  </si>
  <si>
    <t>снабженцы</t>
  </si>
  <si>
    <t>7.7.</t>
  </si>
  <si>
    <t>электрики</t>
  </si>
  <si>
    <t>Водители</t>
  </si>
  <si>
    <t>Прочие услуги</t>
  </si>
  <si>
    <t>водители  по найму</t>
  </si>
  <si>
    <t>квартиры по найму</t>
  </si>
  <si>
    <t>Инженерная  служба</t>
  </si>
  <si>
    <t>ВСЕГО  на дороге</t>
  </si>
  <si>
    <t>Кроме того ,Персонал по выполнению мелких субподрядных работ, персонал задействованный на производстве ДСМ, обслуживании техники, поставке ДСМ и ГСМ</t>
  </si>
  <si>
    <t>ИТОГО на проекте/на участке</t>
  </si>
  <si>
    <t>План на 2012</t>
  </si>
  <si>
    <t xml:space="preserve">ИНФОРМАЦИЯ </t>
  </si>
  <si>
    <t>о наличии техники проекта "ЗЕ-ЗК" по ЮКО</t>
  </si>
  <si>
    <t>№             п/п</t>
  </si>
  <si>
    <t>Ед.изм</t>
  </si>
  <si>
    <t>Мобилизовано</t>
  </si>
  <si>
    <t>МЕЖДУНАРОДНЫЙ ТРАНЗИТНЫЙ КОРИДОР  ЗАПАДНАЯ ЕВРОПА-ЗАПАДНЫЙ КИТАЙ SWRP 2111-2135-ICB (W/3)-002/2009</t>
  </si>
  <si>
    <t>Протяженность</t>
  </si>
  <si>
    <t>Субподрядчик</t>
  </si>
  <si>
    <t>генподрядчик</t>
  </si>
  <si>
    <t>в наличии</t>
  </si>
  <si>
    <t>Бульдозер</t>
  </si>
  <si>
    <t>Эксковатор</t>
  </si>
  <si>
    <t>Погрузчик</t>
  </si>
  <si>
    <t>Автогрейдер</t>
  </si>
  <si>
    <t>Фреза</t>
  </si>
  <si>
    <t xml:space="preserve">Катки </t>
  </si>
  <si>
    <t xml:space="preserve"> Асфальтоукладчик</t>
  </si>
  <si>
    <t>Автосамосвалы</t>
  </si>
  <si>
    <t>Автогудронатор</t>
  </si>
  <si>
    <t xml:space="preserve"> Поливомоечная машина</t>
  </si>
  <si>
    <t xml:space="preserve"> Кран</t>
  </si>
  <si>
    <t>Бензовоз</t>
  </si>
  <si>
    <t>Прочая техника</t>
  </si>
  <si>
    <t>АБЗ</t>
  </si>
  <si>
    <t>ЦБЗ</t>
  </si>
  <si>
    <t>ДРСУ</t>
  </si>
  <si>
    <t>Легковой транспорт</t>
  </si>
  <si>
    <t>Бетоноукладчик</t>
  </si>
  <si>
    <t>ВСЕГО</t>
  </si>
  <si>
    <t xml:space="preserve">Всего  техника </t>
  </si>
  <si>
    <t>Техника на участке</t>
  </si>
  <si>
    <t>План на 2012 г</t>
  </si>
  <si>
    <t>Наименование материала</t>
  </si>
  <si>
    <t>АОЗТ "Дена Рахсаз Констракшн"</t>
  </si>
  <si>
    <r>
      <t xml:space="preserve">Щебень </t>
    </r>
    <r>
      <rPr>
        <b/>
        <sz val="10"/>
        <rFont val="Arial Cyr"/>
        <family val="0"/>
      </rPr>
      <t>в том числе по фракциям</t>
    </r>
  </si>
  <si>
    <t>Щебень фр 0-10</t>
  </si>
  <si>
    <t>Щебень фр 0-40</t>
  </si>
  <si>
    <t>Щебень фр 10-15</t>
  </si>
  <si>
    <t>Щебень фр 10-20</t>
  </si>
  <si>
    <t>Щебень фр 15-20</t>
  </si>
  <si>
    <t>Щебень фр 20-40</t>
  </si>
  <si>
    <t>Щебень фр 40-70</t>
  </si>
  <si>
    <t>Щебень фр 5-10</t>
  </si>
  <si>
    <t xml:space="preserve">Имеется в наличии                  </t>
  </si>
  <si>
    <t xml:space="preserve">в дело </t>
  </si>
  <si>
    <t>тыс,м2</t>
  </si>
  <si>
    <t>Устройство основания                  (в одом направление )</t>
  </si>
  <si>
    <t>ЛОТ №2  СП "Дена Рахсаз"</t>
  </si>
  <si>
    <t>ТОО "АЗМК,
 г Алматы</t>
  </si>
  <si>
    <t>ТОО "Дена Рахсаз Казахстан"</t>
  </si>
  <si>
    <t>Павлодарский нефтехим перерабатывающий завод</t>
  </si>
  <si>
    <t>ТОО "Казгеосинтетика" 
г. Алматы</t>
  </si>
  <si>
    <t>АОЗТ «Дена Рахсаз Констракшн»</t>
  </si>
  <si>
    <t>ТОО "Акжол"    г. Туркестан - кольца ЖБИ 
 ТОО "АЗМК"    г. Алматы -балки и плиты пролетного строения</t>
  </si>
  <si>
    <t>ТОО "Бекарыстан", г.ТуркестанПК "Кызыл Шаруа", г.Туркестан, ТОО "Акжол"г. Туркестан</t>
  </si>
  <si>
    <t>ТОО "Бекарыстан", г.Туркестан, ТОО "Акжол" г.Туркестан, ТОО "Прогрес"г. Туркестан</t>
  </si>
  <si>
    <t>АОЗТ "Дена Рахсаз 
Констракшн"</t>
  </si>
  <si>
    <t>ТОО "Темирбол" г Павлодар</t>
  </si>
  <si>
    <t>МО-25</t>
  </si>
  <si>
    <t>Дена Рахсаз Казахстан</t>
  </si>
  <si>
    <t>ТОО "Ак жол"</t>
  </si>
  <si>
    <t>Лот №2 АОЗТ «Дена Рахсаз Констракшн»</t>
  </si>
  <si>
    <t>МО-25"</t>
  </si>
  <si>
    <t>ТОО "Акжол"</t>
  </si>
  <si>
    <t>ТОО "БЕК"</t>
  </si>
  <si>
    <t>Устройство черного щебня (в одом направление )</t>
  </si>
  <si>
    <t>Устройство Верхний слой покрытия (ЩМА)</t>
  </si>
  <si>
    <t>факт за 02.2012г.</t>
  </si>
  <si>
    <t>Руководитель проекта</t>
  </si>
  <si>
    <t>Наимиха А.</t>
  </si>
  <si>
    <t>Руководитель проекта                         Наимиха А</t>
  </si>
  <si>
    <t>Руководитель проекта                            Наимиха А.</t>
  </si>
  <si>
    <t>Руководитель проекта            Наимиха А.</t>
  </si>
  <si>
    <t>Генеральный подрядчик:</t>
  </si>
  <si>
    <t>Служба инженера:</t>
  </si>
  <si>
    <t>Авторский надзор:</t>
  </si>
  <si>
    <t>Протяженность:</t>
  </si>
  <si>
    <t>57.6 км</t>
  </si>
  <si>
    <t>Ед. изм</t>
  </si>
  <si>
    <t>На весь  проект</t>
  </si>
  <si>
    <t>Потребность на 2012г</t>
  </si>
  <si>
    <t>Декабрь 2011г</t>
  </si>
  <si>
    <t>Январь</t>
  </si>
  <si>
    <t xml:space="preserve">апрель </t>
  </si>
  <si>
    <t>Октябрь</t>
  </si>
  <si>
    <t>Ноябрь</t>
  </si>
  <si>
    <t xml:space="preserve">Приобретенные к отчетному периоду </t>
  </si>
  <si>
    <t xml:space="preserve">% каз. содержания </t>
  </si>
  <si>
    <t>Производитель</t>
  </si>
  <si>
    <t>стоимость млн.тг.</t>
  </si>
  <si>
    <t xml:space="preserve">План </t>
  </si>
  <si>
    <t>из них казахстанское содержание</t>
  </si>
  <si>
    <t>Щебень фракционный в т.ч</t>
  </si>
  <si>
    <t>на приготовление а/б</t>
  </si>
  <si>
    <t>на приготовление ц/б</t>
  </si>
  <si>
    <t>для устройство основания</t>
  </si>
  <si>
    <t>в т.ч для приготовления ц/б</t>
  </si>
  <si>
    <t>-</t>
  </si>
  <si>
    <t>ЖБИ изделия, в том числе:</t>
  </si>
  <si>
    <t>Сигнальный столбики</t>
  </si>
  <si>
    <t>Перильное ограждения</t>
  </si>
  <si>
    <t>Криволинейный брус</t>
  </si>
  <si>
    <t>Металические стоики для дорожных знаков</t>
  </si>
  <si>
    <t>Термопластик</t>
  </si>
  <si>
    <t xml:space="preserve">Металические конструкции </t>
  </si>
  <si>
    <t>Фермент дорзин</t>
  </si>
  <si>
    <t>литр</t>
  </si>
  <si>
    <t>Анкера для бетонного покрытия</t>
  </si>
  <si>
    <r>
      <t xml:space="preserve">График заготовки материалов по объекту </t>
    </r>
    <r>
      <rPr>
        <b/>
        <u val="single"/>
        <sz val="16"/>
        <color indexed="8"/>
        <rFont val="Times New Roman"/>
        <family val="1"/>
      </rPr>
      <t>Проект развития автодорог «Юг-Запад»:
Реконструкция международного транзитного коридора «Западная Европа – Западный Китай», Контракт: SWRP-2057-2111-ICB(W/2)-002/2009</t>
    </r>
  </si>
  <si>
    <t xml:space="preserve">ТОО «Каздорпроект» в ассоциации с «Институт ИГХ д.д.» и «Кыргыздорпроект»
</t>
  </si>
  <si>
    <t>ТОО "Стандарт Цемент", г.Шымкент</t>
  </si>
  <si>
    <t>о ходе реализации по проекту "Западная Европа - Западный Китай" по состоянию на 20.02.2012</t>
  </si>
  <si>
    <t>Информация о заготовке битума по состоянию на 20 февраля 2012 год по "ЗЕ-ЗК"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</si>
</sst>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"/>
    <numFmt numFmtId="168" formatCode="_-* #,##0.0_р_._-;\-* #,##0.0_р_._-;_-* &quot;-&quot;??_р_._-;_-@_-"/>
    <numFmt numFmtId="169" formatCode="#,##0.000"/>
  </numFmts>
  <fonts count="121">
    <font>
      <sz val="10"/>
      <name val="Arial Cyr"/>
      <family val="2"/>
    </font>
    <font>
      <sz val="11"/>
      <color indexed="8"/>
      <name val="Calibri"/>
      <family val="2"/>
    </font>
    <font>
      <b/>
      <sz val="26"/>
      <name val="Arial Cyr"/>
      <family val="2"/>
    </font>
    <font>
      <b/>
      <sz val="28"/>
      <name val="Arial Cyr"/>
      <family val="2"/>
    </font>
    <font>
      <sz val="18"/>
      <name val="Arial Cyr"/>
      <family val="2"/>
    </font>
    <font>
      <b/>
      <sz val="24"/>
      <name val="Arial Cyr"/>
      <family val="0"/>
    </font>
    <font>
      <b/>
      <sz val="22"/>
      <name val="Times New Roman"/>
      <family val="1"/>
    </font>
    <font>
      <b/>
      <sz val="10"/>
      <name val="Arial Cyr"/>
      <family val="2"/>
    </font>
    <font>
      <sz val="22"/>
      <name val="Times New Roman"/>
      <family val="1"/>
    </font>
    <font>
      <b/>
      <sz val="25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25"/>
      <color indexed="8"/>
      <name val="Times New Roman"/>
      <family val="1"/>
    </font>
    <font>
      <b/>
      <u val="single"/>
      <sz val="25"/>
      <name val="Times New Roman"/>
      <family val="1"/>
    </font>
    <font>
      <b/>
      <sz val="25"/>
      <color indexed="10"/>
      <name val="Times New Roman"/>
      <family val="1"/>
    </font>
    <font>
      <sz val="20"/>
      <name val="Times New Roman"/>
      <family val="1"/>
    </font>
    <font>
      <sz val="35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b/>
      <sz val="16"/>
      <name val="Arial"/>
      <family val="2"/>
    </font>
    <font>
      <b/>
      <sz val="16"/>
      <name val="Times New Roman"/>
      <family val="1"/>
    </font>
    <font>
      <b/>
      <sz val="14"/>
      <name val="Arial Cyr"/>
      <family val="0"/>
    </font>
    <font>
      <b/>
      <sz val="14"/>
      <name val="Arial"/>
      <family val="2"/>
    </font>
    <font>
      <sz val="16"/>
      <color indexed="36"/>
      <name val="Arial Cyr"/>
      <family val="0"/>
    </font>
    <font>
      <sz val="16"/>
      <name val="Arial"/>
      <family val="2"/>
    </font>
    <font>
      <sz val="14"/>
      <name val="Arial Cyr"/>
      <family val="0"/>
    </font>
    <font>
      <sz val="20"/>
      <name val="Arial Cyr"/>
      <family val="2"/>
    </font>
    <font>
      <sz val="25"/>
      <name val="Arial Cyr"/>
      <family val="2"/>
    </font>
    <font>
      <sz val="16"/>
      <color indexed="10"/>
      <name val="Arial Cyr"/>
      <family val="0"/>
    </font>
    <font>
      <sz val="16"/>
      <color indexed="8"/>
      <name val="Arial"/>
      <family val="2"/>
    </font>
    <font>
      <b/>
      <sz val="18"/>
      <color indexed="10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20"/>
      <name val="Arial Cyr"/>
      <family val="0"/>
    </font>
    <font>
      <b/>
      <sz val="11"/>
      <name val="Arial Cyr"/>
      <family val="0"/>
    </font>
    <font>
      <b/>
      <sz val="12"/>
      <color indexed="8"/>
      <name val="Arial Cyr"/>
      <family val="0"/>
    </font>
    <font>
      <b/>
      <sz val="9"/>
      <name val="Arial Cyr"/>
      <family val="0"/>
    </font>
    <font>
      <b/>
      <sz val="14"/>
      <color indexed="10"/>
      <name val="Arial Cyr"/>
      <family val="0"/>
    </font>
    <font>
      <b/>
      <sz val="13"/>
      <name val="Arial Cyr"/>
      <family val="0"/>
    </font>
    <font>
      <sz val="14"/>
      <color indexed="10"/>
      <name val="Arial Cyr"/>
      <family val="0"/>
    </font>
    <font>
      <sz val="11"/>
      <name val="Arial Cyr"/>
      <family val="0"/>
    </font>
    <font>
      <b/>
      <sz val="15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4"/>
      <color indexed="9"/>
      <name val="Arial"/>
      <family val="2"/>
    </font>
    <font>
      <b/>
      <i/>
      <sz val="14"/>
      <name val="Arial Cyr"/>
      <family val="0"/>
    </font>
    <font>
      <b/>
      <sz val="13"/>
      <name val="Arial"/>
      <family val="2"/>
    </font>
    <font>
      <sz val="10"/>
      <name val="Helv"/>
      <family val="0"/>
    </font>
    <font>
      <b/>
      <i/>
      <sz val="13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sz val="13"/>
      <name val="Arial Cyr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9"/>
      <name val="Arial Cyr"/>
      <family val="2"/>
    </font>
    <font>
      <sz val="11"/>
      <color indexed="9"/>
      <name val="Arial Cyr"/>
      <family val="2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2"/>
      <color indexed="9"/>
      <name val="Arial Cyr"/>
      <family val="0"/>
    </font>
    <font>
      <b/>
      <sz val="16"/>
      <color indexed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7030A0"/>
      <name val="Arial Cyr"/>
      <family val="0"/>
    </font>
    <font>
      <sz val="16"/>
      <color rgb="FFFF0000"/>
      <name val="Arial Cyr"/>
      <family val="0"/>
    </font>
    <font>
      <b/>
      <sz val="12"/>
      <color theme="1"/>
      <name val="Arial Cyr"/>
      <family val="0"/>
    </font>
    <font>
      <b/>
      <sz val="14"/>
      <color rgb="FFFF0000"/>
      <name val="Arial Cyr"/>
      <family val="0"/>
    </font>
    <font>
      <sz val="14"/>
      <color rgb="FFFF0000"/>
      <name val="Arial Cyr"/>
      <family val="0"/>
    </font>
    <font>
      <sz val="12"/>
      <color theme="1"/>
      <name val="Times New Roman"/>
      <family val="1"/>
    </font>
    <font>
      <sz val="10"/>
      <color theme="0"/>
      <name val="Arial Cyr"/>
      <family val="2"/>
    </font>
    <font>
      <sz val="11"/>
      <color theme="0"/>
      <name val="Arial Cyr"/>
      <family val="2"/>
    </font>
    <font>
      <b/>
      <sz val="12"/>
      <color theme="0"/>
      <name val="Arial Cyr"/>
      <family val="0"/>
    </font>
    <font>
      <b/>
      <sz val="16"/>
      <color theme="0"/>
      <name val="Arial Cyr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medium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1" applyNumberFormat="0" applyAlignment="0" applyProtection="0"/>
    <xf numFmtId="0" fontId="97" fillId="27" borderId="2" applyNumberFormat="0" applyAlignment="0" applyProtection="0"/>
    <xf numFmtId="0" fontId="9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28" borderId="7" applyNumberFormat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06" fillId="30" borderId="0" applyNumberFormat="0" applyBorder="0" applyAlignment="0" applyProtection="0"/>
    <xf numFmtId="0" fontId="10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8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18" fillId="0" borderId="0" applyFill="0" applyBorder="0" applyAlignment="0" applyProtection="0"/>
    <xf numFmtId="0" fontId="110" fillId="32" borderId="0" applyNumberFormat="0" applyBorder="0" applyAlignment="0" applyProtection="0"/>
  </cellStyleXfs>
  <cellXfs count="102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164" fontId="9" fillId="37" borderId="10" xfId="0" applyNumberFormat="1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9" fillId="37" borderId="10" xfId="0" applyNumberFormat="1" applyFont="1" applyFill="1" applyBorder="1" applyAlignment="1">
      <alignment horizontal="center" vertical="center" wrapText="1"/>
    </xf>
    <xf numFmtId="164" fontId="9" fillId="38" borderId="10" xfId="0" applyNumberFormat="1" applyFont="1" applyFill="1" applyBorder="1" applyAlignment="1">
      <alignment horizontal="center" vertical="center" wrapText="1"/>
    </xf>
    <xf numFmtId="1" fontId="9" fillId="37" borderId="10" xfId="0" applyNumberFormat="1" applyFont="1" applyFill="1" applyBorder="1" applyAlignment="1">
      <alignment horizontal="center" vertical="center"/>
    </xf>
    <xf numFmtId="1" fontId="9" fillId="36" borderId="10" xfId="0" applyNumberFormat="1" applyFont="1" applyFill="1" applyBorder="1" applyAlignment="1">
      <alignment horizontal="center" vertical="center"/>
    </xf>
    <xf numFmtId="1" fontId="9" fillId="39" borderId="10" xfId="0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164" fontId="9" fillId="36" borderId="10" xfId="0" applyNumberFormat="1" applyFont="1" applyFill="1" applyBorder="1" applyAlignment="1">
      <alignment horizontal="center" vertical="center"/>
    </xf>
    <xf numFmtId="165" fontId="14" fillId="36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1" fontId="9" fillId="38" borderId="10" xfId="0" applyNumberFormat="1" applyFont="1" applyFill="1" applyBorder="1" applyAlignment="1">
      <alignment horizontal="center" vertical="center" wrapText="1"/>
    </xf>
    <xf numFmtId="1" fontId="9" fillId="39" borderId="10" xfId="0" applyNumberFormat="1" applyFont="1" applyFill="1" applyBorder="1" applyAlignment="1">
      <alignment horizontal="center" vertical="center" wrapText="1"/>
    </xf>
    <xf numFmtId="1" fontId="12" fillId="36" borderId="10" xfId="0" applyNumberFormat="1" applyFont="1" applyFill="1" applyBorder="1" applyAlignment="1">
      <alignment horizontal="center" vertical="center"/>
    </xf>
    <xf numFmtId="1" fontId="12" fillId="39" borderId="10" xfId="0" applyNumberFormat="1" applyFont="1" applyFill="1" applyBorder="1" applyAlignment="1">
      <alignment horizontal="center" vertical="center"/>
    </xf>
    <xf numFmtId="164" fontId="9" fillId="40" borderId="10" xfId="0" applyNumberFormat="1" applyFont="1" applyFill="1" applyBorder="1" applyAlignment="1">
      <alignment horizontal="center" vertical="center" wrapText="1"/>
    </xf>
    <xf numFmtId="164" fontId="9" fillId="39" borderId="10" xfId="0" applyNumberFormat="1" applyFont="1" applyFill="1" applyBorder="1" applyAlignment="1">
      <alignment horizontal="center" vertical="center" wrapText="1"/>
    </xf>
    <xf numFmtId="164" fontId="9" fillId="37" borderId="10" xfId="0" applyNumberFormat="1" applyFont="1" applyFill="1" applyBorder="1" applyAlignment="1">
      <alignment horizontal="center" vertical="center"/>
    </xf>
    <xf numFmtId="164" fontId="9" fillId="39" borderId="10" xfId="0" applyNumberFormat="1" applyFont="1" applyFill="1" applyBorder="1" applyAlignment="1">
      <alignment horizontal="center" vertical="center"/>
    </xf>
    <xf numFmtId="164" fontId="12" fillId="37" borderId="10" xfId="0" applyNumberFormat="1" applyFont="1" applyFill="1" applyBorder="1" applyAlignment="1">
      <alignment horizontal="center" vertical="center"/>
    </xf>
    <xf numFmtId="164" fontId="9" fillId="38" borderId="10" xfId="0" applyNumberFormat="1" applyFont="1" applyFill="1" applyBorder="1" applyAlignment="1">
      <alignment horizontal="center" vertical="center"/>
    </xf>
    <xf numFmtId="164" fontId="12" fillId="36" borderId="10" xfId="0" applyNumberFormat="1" applyFont="1" applyFill="1" applyBorder="1" applyAlignment="1">
      <alignment horizontal="center" vertical="center"/>
    </xf>
    <xf numFmtId="2" fontId="9" fillId="40" borderId="10" xfId="0" applyNumberFormat="1" applyFont="1" applyFill="1" applyBorder="1" applyAlignment="1">
      <alignment horizontal="center" vertical="center" wrapText="1"/>
    </xf>
    <xf numFmtId="2" fontId="9" fillId="38" borderId="10" xfId="0" applyNumberFormat="1" applyFont="1" applyFill="1" applyBorder="1" applyAlignment="1">
      <alignment horizontal="center" vertical="center"/>
    </xf>
    <xf numFmtId="165" fontId="9" fillId="37" borderId="10" xfId="0" applyNumberFormat="1" applyFont="1" applyFill="1" applyBorder="1" applyAlignment="1">
      <alignment horizontal="center" vertical="center"/>
    </xf>
    <xf numFmtId="165" fontId="12" fillId="37" borderId="10" xfId="0" applyNumberFormat="1" applyFont="1" applyFill="1" applyBorder="1" applyAlignment="1">
      <alignment horizontal="center" vertical="center"/>
    </xf>
    <xf numFmtId="2" fontId="9" fillId="40" borderId="10" xfId="0" applyNumberFormat="1" applyFont="1" applyFill="1" applyBorder="1" applyAlignment="1">
      <alignment horizontal="center" vertical="center"/>
    </xf>
    <xf numFmtId="2" fontId="9" fillId="41" borderId="10" xfId="0" applyNumberFormat="1" applyFont="1" applyFill="1" applyBorder="1" applyAlignment="1">
      <alignment horizontal="center" vertical="center"/>
    </xf>
    <xf numFmtId="2" fontId="12" fillId="36" borderId="10" xfId="0" applyNumberFormat="1" applyFont="1" applyFill="1" applyBorder="1" applyAlignment="1">
      <alignment horizontal="center" vertical="center"/>
    </xf>
    <xf numFmtId="0" fontId="10" fillId="42" borderId="10" xfId="0" applyFont="1" applyFill="1" applyBorder="1" applyAlignment="1">
      <alignment vertical="center" wrapText="1"/>
    </xf>
    <xf numFmtId="0" fontId="11" fillId="42" borderId="10" xfId="0" applyFont="1" applyFill="1" applyBorder="1" applyAlignment="1">
      <alignment horizontal="center" vertical="center" wrapText="1"/>
    </xf>
    <xf numFmtId="164" fontId="9" fillId="41" borderId="10" xfId="0" applyNumberFormat="1" applyFont="1" applyFill="1" applyBorder="1" applyAlignment="1">
      <alignment horizontal="center" vertical="center" wrapText="1"/>
    </xf>
    <xf numFmtId="1" fontId="9" fillId="41" borderId="10" xfId="0" applyNumberFormat="1" applyFont="1" applyFill="1" applyBorder="1" applyAlignment="1">
      <alignment horizontal="center" vertical="center" wrapText="1"/>
    </xf>
    <xf numFmtId="1" fontId="9" fillId="41" borderId="10" xfId="0" applyNumberFormat="1" applyFont="1" applyFill="1" applyBorder="1" applyAlignment="1">
      <alignment horizontal="center" vertical="center"/>
    </xf>
    <xf numFmtId="2" fontId="9" fillId="43" borderId="10" xfId="0" applyNumberFormat="1" applyFont="1" applyFill="1" applyBorder="1" applyAlignment="1">
      <alignment horizontal="center" vertical="center"/>
    </xf>
    <xf numFmtId="1" fontId="9" fillId="44" borderId="10" xfId="0" applyNumberFormat="1" applyFont="1" applyFill="1" applyBorder="1" applyAlignment="1">
      <alignment horizontal="center" vertical="center"/>
    </xf>
    <xf numFmtId="1" fontId="12" fillId="41" borderId="10" xfId="0" applyNumberFormat="1" applyFont="1" applyFill="1" applyBorder="1" applyAlignment="1">
      <alignment horizontal="center" vertical="center"/>
    </xf>
    <xf numFmtId="0" fontId="12" fillId="41" borderId="10" xfId="0" applyFont="1" applyFill="1" applyBorder="1" applyAlignment="1">
      <alignment horizontal="center" vertical="center"/>
    </xf>
    <xf numFmtId="0" fontId="0" fillId="42" borderId="0" xfId="0" applyFill="1" applyAlignment="1">
      <alignment/>
    </xf>
    <xf numFmtId="2" fontId="9" fillId="36" borderId="10" xfId="0" applyNumberFormat="1" applyFont="1" applyFill="1" applyBorder="1" applyAlignment="1">
      <alignment horizontal="center" vertical="center"/>
    </xf>
    <xf numFmtId="2" fontId="9" fillId="38" borderId="10" xfId="0" applyNumberFormat="1" applyFont="1" applyFill="1" applyBorder="1" applyAlignment="1">
      <alignment horizontal="center" vertical="center" wrapText="1"/>
    </xf>
    <xf numFmtId="1" fontId="12" fillId="37" borderId="10" xfId="0" applyNumberFormat="1" applyFont="1" applyFill="1" applyBorder="1" applyAlignment="1">
      <alignment horizontal="center" vertical="center"/>
    </xf>
    <xf numFmtId="2" fontId="9" fillId="41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2" fontId="9" fillId="37" borderId="10" xfId="0" applyNumberFormat="1" applyFont="1" applyFill="1" applyBorder="1" applyAlignment="1">
      <alignment horizontal="center" vertical="center" wrapText="1"/>
    </xf>
    <xf numFmtId="164" fontId="12" fillId="39" borderId="10" xfId="0" applyNumberFormat="1" applyFont="1" applyFill="1" applyBorder="1" applyAlignment="1">
      <alignment horizontal="center" vertical="center" wrapText="1"/>
    </xf>
    <xf numFmtId="1" fontId="12" fillId="39" borderId="10" xfId="0" applyNumberFormat="1" applyFont="1" applyFill="1" applyBorder="1" applyAlignment="1">
      <alignment horizontal="center" vertical="center" wrapText="1"/>
    </xf>
    <xf numFmtId="164" fontId="9" fillId="45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/>
    </xf>
    <xf numFmtId="1" fontId="9" fillId="46" borderId="10" xfId="0" applyNumberFormat="1" applyFont="1" applyFill="1" applyBorder="1" applyAlignment="1">
      <alignment horizontal="center" vertical="center"/>
    </xf>
    <xf numFmtId="164" fontId="12" fillId="36" borderId="10" xfId="0" applyNumberFormat="1" applyFont="1" applyFill="1" applyBorder="1" applyAlignment="1">
      <alignment horizontal="center" vertical="center" wrapText="1"/>
    </xf>
    <xf numFmtId="1" fontId="9" fillId="36" borderId="10" xfId="0" applyNumberFormat="1" applyFont="1" applyFill="1" applyBorder="1" applyAlignment="1">
      <alignment horizontal="center" vertical="center" wrapText="1"/>
    </xf>
    <xf numFmtId="2" fontId="9" fillId="45" borderId="10" xfId="0" applyNumberFormat="1" applyFont="1" applyFill="1" applyBorder="1" applyAlignment="1">
      <alignment horizontal="center" vertical="center"/>
    </xf>
    <xf numFmtId="0" fontId="9" fillId="46" borderId="10" xfId="0" applyFont="1" applyFill="1" applyBorder="1" applyAlignment="1">
      <alignment horizontal="center" vertical="center"/>
    </xf>
    <xf numFmtId="2" fontId="9" fillId="46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4" fillId="46" borderId="10" xfId="0" applyFont="1" applyFill="1" applyBorder="1" applyAlignment="1">
      <alignment horizontal="center" vertical="center" wrapText="1"/>
    </xf>
    <xf numFmtId="0" fontId="25" fillId="46" borderId="10" xfId="0" applyFont="1" applyFill="1" applyBorder="1" applyAlignment="1">
      <alignment horizontal="center" vertical="center" wrapText="1"/>
    </xf>
    <xf numFmtId="164" fontId="19" fillId="46" borderId="10" xfId="0" applyNumberFormat="1" applyFont="1" applyFill="1" applyBorder="1" applyAlignment="1">
      <alignment horizontal="left" vertical="center" wrapText="1"/>
    </xf>
    <xf numFmtId="164" fontId="19" fillId="46" borderId="10" xfId="0" applyNumberFormat="1" applyFont="1" applyFill="1" applyBorder="1" applyAlignment="1">
      <alignment horizontal="center" vertical="center" wrapText="1"/>
    </xf>
    <xf numFmtId="165" fontId="111" fillId="46" borderId="10" xfId="0" applyNumberFormat="1" applyFont="1" applyFill="1" applyBorder="1" applyAlignment="1">
      <alignment horizontal="center" vertical="center" wrapText="1"/>
    </xf>
    <xf numFmtId="1" fontId="19" fillId="46" borderId="10" xfId="0" applyNumberFormat="1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164" fontId="28" fillId="46" borderId="10" xfId="0" applyNumberFormat="1" applyFont="1" applyFill="1" applyBorder="1" applyAlignment="1">
      <alignment horizontal="center" vertical="center" wrapText="1"/>
    </xf>
    <xf numFmtId="2" fontId="19" fillId="46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165" fontId="19" fillId="46" borderId="10" xfId="0" applyNumberFormat="1" applyFont="1" applyFill="1" applyBorder="1" applyAlignment="1">
      <alignment horizontal="center" vertical="center" wrapText="1"/>
    </xf>
    <xf numFmtId="1" fontId="19" fillId="42" borderId="10" xfId="0" applyNumberFormat="1" applyFont="1" applyFill="1" applyBorder="1" applyAlignment="1">
      <alignment horizontal="center" vertical="center" wrapText="1"/>
    </xf>
    <xf numFmtId="1" fontId="19" fillId="42" borderId="11" xfId="0" applyNumberFormat="1" applyFont="1" applyFill="1" applyBorder="1" applyAlignment="1">
      <alignment horizontal="center" vertical="center" wrapText="1"/>
    </xf>
    <xf numFmtId="2" fontId="28" fillId="46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left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164" fontId="19" fillId="42" borderId="10" xfId="0" applyNumberFormat="1" applyFont="1" applyFill="1" applyBorder="1" applyAlignment="1">
      <alignment horizontal="center" vertical="center" wrapText="1"/>
    </xf>
    <xf numFmtId="1" fontId="112" fillId="46" borderId="10" xfId="0" applyNumberFormat="1" applyFont="1" applyFill="1" applyBorder="1" applyAlignment="1">
      <alignment horizontal="center" vertical="center" wrapText="1"/>
    </xf>
    <xf numFmtId="0" fontId="30" fillId="46" borderId="0" xfId="0" applyFont="1" applyFill="1" applyAlignment="1">
      <alignment/>
    </xf>
    <xf numFmtId="0" fontId="21" fillId="46" borderId="0" xfId="0" applyFont="1" applyFill="1" applyAlignment="1">
      <alignment/>
    </xf>
    <xf numFmtId="164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164" fontId="28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164" fontId="112" fillId="46" borderId="10" xfId="0" applyNumberFormat="1" applyFont="1" applyFill="1" applyBorder="1" applyAlignment="1">
      <alignment horizontal="center" vertical="center" wrapText="1"/>
    </xf>
    <xf numFmtId="1" fontId="112" fillId="42" borderId="10" xfId="0" applyNumberFormat="1" applyFont="1" applyFill="1" applyBorder="1" applyAlignment="1">
      <alignment horizontal="center" vertical="center" wrapText="1"/>
    </xf>
    <xf numFmtId="3" fontId="19" fillId="46" borderId="10" xfId="0" applyNumberFormat="1" applyFont="1" applyFill="1" applyBorder="1" applyAlignment="1">
      <alignment horizontal="center" vertical="center" wrapText="1"/>
    </xf>
    <xf numFmtId="167" fontId="19" fillId="46" borderId="10" xfId="0" applyNumberFormat="1" applyFont="1" applyFill="1" applyBorder="1" applyAlignment="1">
      <alignment horizontal="center" vertical="center" wrapText="1"/>
    </xf>
    <xf numFmtId="164" fontId="32" fillId="0" borderId="10" xfId="0" applyNumberFormat="1" applyFont="1" applyFill="1" applyBorder="1" applyAlignment="1">
      <alignment horizontal="center" vertical="center" wrapText="1"/>
    </xf>
    <xf numFmtId="1" fontId="112" fillId="0" borderId="10" xfId="0" applyNumberFormat="1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left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1" fontId="20" fillId="42" borderId="10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35" fillId="42" borderId="0" xfId="0" applyFont="1" applyFill="1" applyBorder="1" applyAlignment="1">
      <alignment horizontal="center"/>
    </xf>
    <xf numFmtId="0" fontId="38" fillId="42" borderId="10" xfId="0" applyFont="1" applyFill="1" applyBorder="1" applyAlignment="1">
      <alignment horizontal="center" vertical="center" wrapText="1"/>
    </xf>
    <xf numFmtId="2" fontId="20" fillId="42" borderId="10" xfId="0" applyNumberFormat="1" applyFont="1" applyFill="1" applyBorder="1" applyAlignment="1">
      <alignment horizontal="center" vertical="center"/>
    </xf>
    <xf numFmtId="2" fontId="35" fillId="42" borderId="10" xfId="0" applyNumberFormat="1" applyFont="1" applyFill="1" applyBorder="1" applyAlignment="1">
      <alignment horizontal="center" vertical="center" wrapText="1"/>
    </xf>
    <xf numFmtId="2" fontId="20" fillId="42" borderId="10" xfId="0" applyNumberFormat="1" applyFont="1" applyFill="1" applyBorder="1" applyAlignment="1">
      <alignment horizontal="center" vertical="center" wrapText="1"/>
    </xf>
    <xf numFmtId="1" fontId="35" fillId="42" borderId="10" xfId="0" applyNumberFormat="1" applyFont="1" applyFill="1" applyBorder="1" applyAlignment="1">
      <alignment horizontal="center" vertical="center"/>
    </xf>
    <xf numFmtId="0" fontId="20" fillId="42" borderId="10" xfId="0" applyNumberFormat="1" applyFont="1" applyFill="1" applyBorder="1" applyAlignment="1">
      <alignment horizontal="center" vertical="center" wrapText="1"/>
    </xf>
    <xf numFmtId="2" fontId="35" fillId="42" borderId="10" xfId="0" applyNumberFormat="1" applyFont="1" applyFill="1" applyBorder="1" applyAlignment="1">
      <alignment horizontal="center" vertical="center"/>
    </xf>
    <xf numFmtId="165" fontId="20" fillId="42" borderId="10" xfId="0" applyNumberFormat="1" applyFont="1" applyFill="1" applyBorder="1" applyAlignment="1">
      <alignment horizontal="center" vertical="center" wrapText="1"/>
    </xf>
    <xf numFmtId="1" fontId="35" fillId="42" borderId="12" xfId="0" applyNumberFormat="1" applyFont="1" applyFill="1" applyBorder="1" applyAlignment="1">
      <alignment horizontal="center" vertical="center"/>
    </xf>
    <xf numFmtId="164" fontId="35" fillId="42" borderId="10" xfId="0" applyNumberFormat="1" applyFont="1" applyFill="1" applyBorder="1" applyAlignment="1">
      <alignment horizontal="center" vertical="center" wrapText="1"/>
    </xf>
    <xf numFmtId="165" fontId="24" fillId="42" borderId="10" xfId="0" applyNumberFormat="1" applyFont="1" applyFill="1" applyBorder="1" applyAlignment="1">
      <alignment horizontal="center" vertical="center" wrapText="1"/>
    </xf>
    <xf numFmtId="2" fontId="24" fillId="42" borderId="10" xfId="0" applyNumberFormat="1" applyFont="1" applyFill="1" applyBorder="1" applyAlignment="1">
      <alignment horizontal="center" vertical="center"/>
    </xf>
    <xf numFmtId="0" fontId="35" fillId="42" borderId="0" xfId="0" applyFont="1" applyFill="1" applyAlignment="1">
      <alignment vertical="center"/>
    </xf>
    <xf numFmtId="2" fontId="20" fillId="42" borderId="13" xfId="0" applyNumberFormat="1" applyFont="1" applyFill="1" applyBorder="1" applyAlignment="1">
      <alignment horizontal="center" vertical="center"/>
    </xf>
    <xf numFmtId="165" fontId="20" fillId="42" borderId="13" xfId="0" applyNumberFormat="1" applyFont="1" applyFill="1" applyBorder="1" applyAlignment="1">
      <alignment horizontal="center" vertical="center"/>
    </xf>
    <xf numFmtId="1" fontId="20" fillId="42" borderId="12" xfId="0" applyNumberFormat="1" applyFont="1" applyFill="1" applyBorder="1" applyAlignment="1">
      <alignment horizontal="center" vertical="center"/>
    </xf>
    <xf numFmtId="0" fontId="20" fillId="42" borderId="0" xfId="0" applyFont="1" applyFill="1" applyAlignment="1">
      <alignment vertical="center"/>
    </xf>
    <xf numFmtId="0" fontId="35" fillId="42" borderId="10" xfId="0" applyFont="1" applyFill="1" applyBorder="1" applyAlignment="1">
      <alignment horizontal="center" vertical="center" wrapText="1"/>
    </xf>
    <xf numFmtId="164" fontId="20" fillId="42" borderId="10" xfId="0" applyNumberFormat="1" applyFont="1" applyFill="1" applyBorder="1" applyAlignment="1">
      <alignment horizontal="center" vertical="center" wrapText="1"/>
    </xf>
    <xf numFmtId="164" fontId="35" fillId="42" borderId="10" xfId="0" applyNumberFormat="1" applyFont="1" applyFill="1" applyBorder="1" applyAlignment="1">
      <alignment horizontal="center" vertical="center" wrapText="1" shrinkToFit="1"/>
    </xf>
    <xf numFmtId="164" fontId="20" fillId="42" borderId="10" xfId="0" applyNumberFormat="1" applyFont="1" applyFill="1" applyBorder="1" applyAlignment="1">
      <alignment horizontal="center" vertical="center"/>
    </xf>
    <xf numFmtId="165" fontId="20" fillId="42" borderId="10" xfId="0" applyNumberFormat="1" applyFont="1" applyFill="1" applyBorder="1" applyAlignment="1">
      <alignment horizontal="center" vertical="center"/>
    </xf>
    <xf numFmtId="1" fontId="7" fillId="42" borderId="12" xfId="0" applyNumberFormat="1" applyFont="1" applyFill="1" applyBorder="1" applyAlignment="1">
      <alignment horizontal="center" vertical="center"/>
    </xf>
    <xf numFmtId="2" fontId="7" fillId="42" borderId="10" xfId="0" applyNumberFormat="1" applyFont="1" applyFill="1" applyBorder="1" applyAlignment="1">
      <alignment horizontal="center" vertical="center"/>
    </xf>
    <xf numFmtId="165" fontId="24" fillId="42" borderId="13" xfId="0" applyNumberFormat="1" applyFont="1" applyFill="1" applyBorder="1" applyAlignment="1">
      <alignment horizontal="center" vertical="center"/>
    </xf>
    <xf numFmtId="164" fontId="24" fillId="42" borderId="13" xfId="0" applyNumberFormat="1" applyFont="1" applyFill="1" applyBorder="1" applyAlignment="1">
      <alignment horizontal="center" vertical="center"/>
    </xf>
    <xf numFmtId="0" fontId="7" fillId="42" borderId="0" xfId="0" applyFont="1" applyFill="1" applyAlignment="1">
      <alignment vertical="center"/>
    </xf>
    <xf numFmtId="0" fontId="35" fillId="42" borderId="14" xfId="0" applyFont="1" applyFill="1" applyBorder="1" applyAlignment="1">
      <alignment horizontal="center" vertical="center" wrapText="1"/>
    </xf>
    <xf numFmtId="164" fontId="35" fillId="42" borderId="13" xfId="0" applyNumberFormat="1" applyFont="1" applyFill="1" applyBorder="1" applyAlignment="1">
      <alignment horizontal="center" vertical="center" wrapText="1"/>
    </xf>
    <xf numFmtId="164" fontId="20" fillId="42" borderId="13" xfId="0" applyNumberFormat="1" applyFont="1" applyFill="1" applyBorder="1" applyAlignment="1">
      <alignment horizontal="center" vertical="center" wrapText="1"/>
    </xf>
    <xf numFmtId="2" fontId="20" fillId="42" borderId="13" xfId="0" applyNumberFormat="1" applyFont="1" applyFill="1" applyBorder="1" applyAlignment="1">
      <alignment horizontal="center" vertical="center" wrapText="1"/>
    </xf>
    <xf numFmtId="164" fontId="35" fillId="42" borderId="13" xfId="0" applyNumberFormat="1" applyFont="1" applyFill="1" applyBorder="1" applyAlignment="1">
      <alignment horizontal="center" vertical="center" wrapText="1" shrinkToFit="1"/>
    </xf>
    <xf numFmtId="165" fontId="35" fillId="42" borderId="13" xfId="0" applyNumberFormat="1" applyFont="1" applyFill="1" applyBorder="1" applyAlignment="1">
      <alignment horizontal="center" vertical="center"/>
    </xf>
    <xf numFmtId="164" fontId="20" fillId="42" borderId="13" xfId="0" applyNumberFormat="1" applyFont="1" applyFill="1" applyBorder="1" applyAlignment="1">
      <alignment horizontal="center" vertical="center"/>
    </xf>
    <xf numFmtId="164" fontId="35" fillId="42" borderId="13" xfId="0" applyNumberFormat="1" applyFont="1" applyFill="1" applyBorder="1" applyAlignment="1">
      <alignment horizontal="center" vertical="center"/>
    </xf>
    <xf numFmtId="2" fontId="20" fillId="42" borderId="10" xfId="0" applyNumberFormat="1" applyFont="1" applyFill="1" applyBorder="1" applyAlignment="1">
      <alignment horizontal="center" vertical="center" wrapText="1"/>
    </xf>
    <xf numFmtId="2" fontId="35" fillId="42" borderId="10" xfId="0" applyNumberFormat="1" applyFont="1" applyFill="1" applyBorder="1" applyAlignment="1">
      <alignment horizontal="center" vertical="center" wrapText="1" shrinkToFit="1"/>
    </xf>
    <xf numFmtId="164" fontId="20" fillId="42" borderId="10" xfId="0" applyNumberFormat="1" applyFont="1" applyFill="1" applyBorder="1" applyAlignment="1">
      <alignment horizontal="center" vertical="center" wrapText="1" shrinkToFit="1"/>
    </xf>
    <xf numFmtId="2" fontId="20" fillId="42" borderId="10" xfId="0" applyNumberFormat="1" applyFont="1" applyFill="1" applyBorder="1" applyAlignment="1">
      <alignment horizontal="center" vertical="center"/>
    </xf>
    <xf numFmtId="165" fontId="20" fillId="42" borderId="10" xfId="0" applyNumberFormat="1" applyFont="1" applyFill="1" applyBorder="1" applyAlignment="1">
      <alignment horizontal="center" vertical="center"/>
    </xf>
    <xf numFmtId="165" fontId="35" fillId="42" borderId="10" xfId="0" applyNumberFormat="1" applyFont="1" applyFill="1" applyBorder="1" applyAlignment="1">
      <alignment horizontal="center" vertical="center"/>
    </xf>
    <xf numFmtId="164" fontId="20" fillId="42" borderId="11" xfId="0" applyNumberFormat="1" applyFont="1" applyFill="1" applyBorder="1" applyAlignment="1">
      <alignment horizontal="center" vertical="center"/>
    </xf>
    <xf numFmtId="2" fontId="35" fillId="42" borderId="13" xfId="0" applyNumberFormat="1" applyFont="1" applyFill="1" applyBorder="1" applyAlignment="1">
      <alignment horizontal="center" vertical="center" wrapText="1" shrinkToFit="1"/>
    </xf>
    <xf numFmtId="165" fontId="113" fillId="42" borderId="13" xfId="0" applyNumberFormat="1" applyFont="1" applyFill="1" applyBorder="1" applyAlignment="1">
      <alignment horizontal="center" vertical="center"/>
    </xf>
    <xf numFmtId="2" fontId="35" fillId="42" borderId="13" xfId="0" applyNumberFormat="1" applyFont="1" applyFill="1" applyBorder="1" applyAlignment="1">
      <alignment horizontal="center" vertical="center"/>
    </xf>
    <xf numFmtId="2" fontId="24" fillId="42" borderId="13" xfId="0" applyNumberFormat="1" applyFont="1" applyFill="1" applyBorder="1" applyAlignment="1">
      <alignment horizontal="center" vertical="center"/>
    </xf>
    <xf numFmtId="165" fontId="24" fillId="42" borderId="10" xfId="0" applyNumberFormat="1" applyFont="1" applyFill="1" applyBorder="1" applyAlignment="1">
      <alignment horizontal="center" vertical="center"/>
    </xf>
    <xf numFmtId="0" fontId="38" fillId="42" borderId="0" xfId="0" applyFont="1" applyFill="1" applyBorder="1" applyAlignment="1">
      <alignment horizontal="center" vertical="center" wrapText="1"/>
    </xf>
    <xf numFmtId="0" fontId="40" fillId="42" borderId="0" xfId="0" applyFont="1" applyFill="1" applyBorder="1" applyAlignment="1">
      <alignment horizontal="center" vertical="center" wrapText="1"/>
    </xf>
    <xf numFmtId="164" fontId="24" fillId="42" borderId="0" xfId="0" applyNumberFormat="1" applyFont="1" applyFill="1" applyBorder="1" applyAlignment="1">
      <alignment horizontal="center" vertical="center" wrapText="1"/>
    </xf>
    <xf numFmtId="2" fontId="24" fillId="42" borderId="0" xfId="0" applyNumberFormat="1" applyFont="1" applyFill="1" applyBorder="1" applyAlignment="1">
      <alignment horizontal="center" vertical="center" wrapText="1"/>
    </xf>
    <xf numFmtId="1" fontId="7" fillId="42" borderId="0" xfId="0" applyNumberFormat="1" applyFont="1" applyFill="1" applyBorder="1" applyAlignment="1">
      <alignment horizontal="center" vertical="center"/>
    </xf>
    <xf numFmtId="2" fontId="7" fillId="42" borderId="0" xfId="0" applyNumberFormat="1" applyFont="1" applyFill="1" applyBorder="1" applyAlignment="1">
      <alignment horizontal="center" vertical="center"/>
    </xf>
    <xf numFmtId="2" fontId="24" fillId="42" borderId="0" xfId="0" applyNumberFormat="1" applyFont="1" applyFill="1" applyBorder="1" applyAlignment="1">
      <alignment horizontal="center" vertical="center" wrapText="1" shrinkToFit="1"/>
    </xf>
    <xf numFmtId="164" fontId="24" fillId="42" borderId="0" xfId="0" applyNumberFormat="1" applyFont="1" applyFill="1" applyBorder="1" applyAlignment="1">
      <alignment horizontal="center" vertical="center"/>
    </xf>
    <xf numFmtId="2" fontId="24" fillId="42" borderId="0" xfId="0" applyNumberFormat="1" applyFont="1" applyFill="1" applyBorder="1" applyAlignment="1">
      <alignment horizontal="center" vertical="center"/>
    </xf>
    <xf numFmtId="165" fontId="24" fillId="42" borderId="0" xfId="0" applyNumberFormat="1" applyFont="1" applyFill="1" applyBorder="1" applyAlignment="1">
      <alignment horizontal="center" vertical="center"/>
    </xf>
    <xf numFmtId="0" fontId="38" fillId="42" borderId="13" xfId="0" applyFont="1" applyFill="1" applyBorder="1" applyAlignment="1">
      <alignment vertical="center"/>
    </xf>
    <xf numFmtId="0" fontId="38" fillId="42" borderId="13" xfId="0" applyFont="1" applyFill="1" applyBorder="1" applyAlignment="1">
      <alignment vertical="center" wrapText="1"/>
    </xf>
    <xf numFmtId="0" fontId="38" fillId="42" borderId="11" xfId="0" applyFont="1" applyFill="1" applyBorder="1" applyAlignment="1">
      <alignment vertical="center" wrapText="1"/>
    </xf>
    <xf numFmtId="0" fontId="38" fillId="42" borderId="15" xfId="0" applyFont="1" applyFill="1" applyBorder="1" applyAlignment="1">
      <alignment vertical="center" wrapText="1"/>
    </xf>
    <xf numFmtId="2" fontId="24" fillId="42" borderId="10" xfId="0" applyNumberFormat="1" applyFont="1" applyFill="1" applyBorder="1" applyAlignment="1">
      <alignment horizontal="center" vertical="center" wrapText="1"/>
    </xf>
    <xf numFmtId="0" fontId="24" fillId="42" borderId="10" xfId="0" applyNumberFormat="1" applyFont="1" applyFill="1" applyBorder="1" applyAlignment="1">
      <alignment horizontal="center" vertical="center" wrapText="1"/>
    </xf>
    <xf numFmtId="0" fontId="38" fillId="42" borderId="14" xfId="0" applyFont="1" applyFill="1" applyBorder="1" applyAlignment="1">
      <alignment horizontal="center" vertical="center" wrapText="1"/>
    </xf>
    <xf numFmtId="0" fontId="40" fillId="42" borderId="10" xfId="0" applyFont="1" applyFill="1" applyBorder="1" applyAlignment="1">
      <alignment horizontal="center" vertical="center" wrapText="1"/>
    </xf>
    <xf numFmtId="164" fontId="24" fillId="42" borderId="13" xfId="0" applyNumberFormat="1" applyFont="1" applyFill="1" applyBorder="1" applyAlignment="1">
      <alignment horizontal="center" vertical="center" wrapText="1"/>
    </xf>
    <xf numFmtId="2" fontId="24" fillId="42" borderId="13" xfId="0" applyNumberFormat="1" applyFont="1" applyFill="1" applyBorder="1" applyAlignment="1">
      <alignment horizontal="center" vertical="center" wrapText="1"/>
    </xf>
    <xf numFmtId="1" fontId="7" fillId="42" borderId="10" xfId="0" applyNumberFormat="1" applyFont="1" applyFill="1" applyBorder="1" applyAlignment="1">
      <alignment horizontal="center" vertical="center"/>
    </xf>
    <xf numFmtId="164" fontId="24" fillId="42" borderId="13" xfId="0" applyNumberFormat="1" applyFont="1" applyFill="1" applyBorder="1" applyAlignment="1">
      <alignment horizontal="center" vertical="center" wrapText="1" shrinkToFit="1"/>
    </xf>
    <xf numFmtId="165" fontId="24" fillId="42" borderId="13" xfId="0" applyNumberFormat="1" applyFont="1" applyFill="1" applyBorder="1" applyAlignment="1">
      <alignment horizontal="center" vertical="center" wrapText="1"/>
    </xf>
    <xf numFmtId="2" fontId="24" fillId="42" borderId="13" xfId="0" applyNumberFormat="1" applyFont="1" applyFill="1" applyBorder="1" applyAlignment="1">
      <alignment horizontal="center" vertical="center" wrapText="1" shrinkToFit="1"/>
    </xf>
    <xf numFmtId="2" fontId="114" fillId="42" borderId="13" xfId="0" applyNumberFormat="1" applyFont="1" applyFill="1" applyBorder="1" applyAlignment="1">
      <alignment horizontal="center" vertical="center" wrapText="1"/>
    </xf>
    <xf numFmtId="164" fontId="24" fillId="42" borderId="10" xfId="0" applyNumberFormat="1" applyFont="1" applyFill="1" applyBorder="1" applyAlignment="1">
      <alignment horizontal="center" vertical="center" wrapText="1"/>
    </xf>
    <xf numFmtId="2" fontId="24" fillId="42" borderId="10" xfId="0" applyNumberFormat="1" applyFont="1" applyFill="1" applyBorder="1" applyAlignment="1">
      <alignment horizontal="center" vertical="center" wrapText="1" shrinkToFit="1"/>
    </xf>
    <xf numFmtId="164" fontId="24" fillId="42" borderId="10" xfId="0" applyNumberFormat="1" applyFont="1" applyFill="1" applyBorder="1" applyAlignment="1">
      <alignment horizontal="center" vertical="center"/>
    </xf>
    <xf numFmtId="0" fontId="38" fillId="42" borderId="16" xfId="0" applyFont="1" applyFill="1" applyBorder="1" applyAlignment="1">
      <alignment horizontal="center" vertical="center" wrapText="1"/>
    </xf>
    <xf numFmtId="164" fontId="38" fillId="42" borderId="0" xfId="0" applyNumberFormat="1" applyFont="1" applyFill="1" applyBorder="1" applyAlignment="1">
      <alignment horizontal="center"/>
    </xf>
    <xf numFmtId="164" fontId="38" fillId="42" borderId="0" xfId="0" applyNumberFormat="1" applyFont="1" applyFill="1" applyBorder="1" applyAlignment="1">
      <alignment horizontal="center" vertical="center" wrapText="1"/>
    </xf>
    <xf numFmtId="164" fontId="38" fillId="42" borderId="0" xfId="0" applyNumberFormat="1" applyFont="1" applyFill="1" applyBorder="1" applyAlignment="1">
      <alignment horizontal="center" vertical="center"/>
    </xf>
    <xf numFmtId="168" fontId="38" fillId="42" borderId="0" xfId="98" applyNumberFormat="1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/>
    </xf>
    <xf numFmtId="164" fontId="7" fillId="42" borderId="0" xfId="0" applyNumberFormat="1" applyFont="1" applyFill="1" applyBorder="1" applyAlignment="1">
      <alignment horizontal="center"/>
    </xf>
    <xf numFmtId="164" fontId="7" fillId="42" borderId="0" xfId="0" applyNumberFormat="1" applyFont="1" applyFill="1" applyBorder="1" applyAlignment="1">
      <alignment/>
    </xf>
    <xf numFmtId="0" fontId="0" fillId="42" borderId="0" xfId="0" applyFill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28" fillId="42" borderId="10" xfId="0" applyFont="1" applyFill="1" applyBorder="1" applyAlignment="1">
      <alignment horizontal="center" vertical="center" wrapText="1"/>
    </xf>
    <xf numFmtId="164" fontId="24" fillId="42" borderId="10" xfId="98" applyNumberFormat="1" applyFont="1" applyFill="1" applyBorder="1" applyAlignment="1">
      <alignment horizontal="center" vertical="center"/>
    </xf>
    <xf numFmtId="164" fontId="114" fillId="42" borderId="10" xfId="0" applyNumberFormat="1" applyFont="1" applyFill="1" applyBorder="1" applyAlignment="1">
      <alignment horizontal="center" vertical="center"/>
    </xf>
    <xf numFmtId="0" fontId="28" fillId="42" borderId="10" xfId="0" applyFont="1" applyFill="1" applyBorder="1" applyAlignment="1">
      <alignment horizontal="center" vertical="center"/>
    </xf>
    <xf numFmtId="0" fontId="28" fillId="42" borderId="10" xfId="0" applyFont="1" applyFill="1" applyBorder="1" applyAlignment="1">
      <alignment horizontal="center" vertical="center"/>
    </xf>
    <xf numFmtId="2" fontId="20" fillId="42" borderId="0" xfId="0" applyNumberFormat="1" applyFont="1" applyFill="1" applyAlignment="1">
      <alignment horizontal="center" vertical="center"/>
    </xf>
    <xf numFmtId="1" fontId="24" fillId="42" borderId="10" xfId="0" applyNumberFormat="1" applyFont="1" applyFill="1" applyBorder="1" applyAlignment="1">
      <alignment horizontal="center" vertical="center"/>
    </xf>
    <xf numFmtId="164" fontId="28" fillId="42" borderId="10" xfId="0" applyNumberFormat="1" applyFont="1" applyFill="1" applyBorder="1" applyAlignment="1">
      <alignment horizontal="center" vertical="center"/>
    </xf>
    <xf numFmtId="165" fontId="20" fillId="42" borderId="0" xfId="0" applyNumberFormat="1" applyFont="1" applyFill="1" applyAlignment="1">
      <alignment horizontal="center" vertical="center"/>
    </xf>
    <xf numFmtId="1" fontId="28" fillId="42" borderId="10" xfId="72" applyNumberFormat="1" applyFont="1" applyFill="1" applyBorder="1" applyAlignment="1">
      <alignment horizontal="center" vertical="center"/>
      <protection/>
    </xf>
    <xf numFmtId="1" fontId="24" fillId="42" borderId="10" xfId="98" applyNumberFormat="1" applyFont="1" applyFill="1" applyBorder="1" applyAlignment="1">
      <alignment horizontal="center" vertical="center"/>
    </xf>
    <xf numFmtId="164" fontId="28" fillId="42" borderId="10" xfId="72" applyNumberFormat="1" applyFont="1" applyFill="1" applyBorder="1" applyAlignment="1">
      <alignment horizontal="center" vertical="center"/>
      <protection/>
    </xf>
    <xf numFmtId="164" fontId="115" fillId="42" borderId="10" xfId="0" applyNumberFormat="1" applyFont="1" applyFill="1" applyBorder="1" applyAlignment="1">
      <alignment horizontal="center" vertical="center"/>
    </xf>
    <xf numFmtId="2" fontId="24" fillId="42" borderId="10" xfId="98" applyNumberFormat="1" applyFont="1" applyFill="1" applyBorder="1" applyAlignment="1">
      <alignment horizontal="center" vertical="center"/>
    </xf>
    <xf numFmtId="2" fontId="28" fillId="42" borderId="10" xfId="0" applyNumberFormat="1" applyFont="1" applyFill="1" applyBorder="1" applyAlignment="1">
      <alignment horizontal="center" vertical="center"/>
    </xf>
    <xf numFmtId="0" fontId="24" fillId="42" borderId="10" xfId="0" applyNumberFormat="1" applyFont="1" applyFill="1" applyBorder="1" applyAlignment="1">
      <alignment horizontal="center" vertical="center"/>
    </xf>
    <xf numFmtId="0" fontId="44" fillId="42" borderId="0" xfId="0" applyFont="1" applyFill="1" applyBorder="1" applyAlignment="1">
      <alignment horizontal="left" vertical="center" wrapText="1"/>
    </xf>
    <xf numFmtId="0" fontId="44" fillId="42" borderId="0" xfId="0" applyFont="1" applyFill="1" applyBorder="1" applyAlignment="1">
      <alignment horizontal="center" vertical="center" wrapText="1"/>
    </xf>
    <xf numFmtId="2" fontId="7" fillId="42" borderId="0" xfId="0" applyNumberFormat="1" applyFont="1" applyFill="1" applyBorder="1" applyAlignment="1">
      <alignment horizontal="center"/>
    </xf>
    <xf numFmtId="0" fontId="45" fillId="42" borderId="10" xfId="0" applyFont="1" applyFill="1" applyBorder="1" applyAlignment="1">
      <alignment horizontal="center" vertical="center" wrapText="1"/>
    </xf>
    <xf numFmtId="0" fontId="34" fillId="42" borderId="10" xfId="0" applyFont="1" applyFill="1" applyBorder="1" applyAlignment="1">
      <alignment horizontal="center" vertical="center" wrapText="1"/>
    </xf>
    <xf numFmtId="0" fontId="34" fillId="42" borderId="13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/>
    </xf>
    <xf numFmtId="0" fontId="21" fillId="42" borderId="0" xfId="0" applyFont="1" applyFill="1" applyBorder="1" applyAlignment="1">
      <alignment/>
    </xf>
    <xf numFmtId="2" fontId="21" fillId="42" borderId="0" xfId="0" applyNumberFormat="1" applyFont="1" applyFill="1" applyBorder="1" applyAlignment="1">
      <alignment/>
    </xf>
    <xf numFmtId="0" fontId="0" fillId="42" borderId="0" xfId="0" applyFill="1" applyBorder="1" applyAlignment="1">
      <alignment/>
    </xf>
    <xf numFmtId="0" fontId="44" fillId="42" borderId="0" xfId="0" applyFont="1" applyFill="1" applyBorder="1" applyAlignment="1">
      <alignment/>
    </xf>
    <xf numFmtId="2" fontId="44" fillId="42" borderId="0" xfId="0" applyNumberFormat="1" applyFont="1" applyFill="1" applyBorder="1" applyAlignment="1">
      <alignment/>
    </xf>
    <xf numFmtId="0" fontId="38" fillId="42" borderId="0" xfId="0" applyFont="1" applyFill="1" applyBorder="1" applyAlignment="1">
      <alignment vertical="center" wrapText="1"/>
    </xf>
    <xf numFmtId="165" fontId="38" fillId="42" borderId="10" xfId="0" applyNumberFormat="1" applyFont="1" applyFill="1" applyBorder="1" applyAlignment="1">
      <alignment horizontal="center" vertical="center" wrapText="1"/>
    </xf>
    <xf numFmtId="0" fontId="20" fillId="42" borderId="10" xfId="0" applyFont="1" applyFill="1" applyBorder="1" applyAlignment="1">
      <alignment horizontal="center" vertical="center" wrapText="1"/>
    </xf>
    <xf numFmtId="1" fontId="20" fillId="42" borderId="10" xfId="0" applyNumberFormat="1" applyFont="1" applyFill="1" applyBorder="1" applyAlignment="1">
      <alignment horizontal="center" vertical="center"/>
    </xf>
    <xf numFmtId="2" fontId="20" fillId="42" borderId="10" xfId="74" applyNumberFormat="1" applyFont="1" applyFill="1" applyBorder="1" applyAlignment="1">
      <alignment horizontal="center" vertical="center"/>
      <protection/>
    </xf>
    <xf numFmtId="164" fontId="20" fillId="42" borderId="10" xfId="0" applyNumberFormat="1" applyFont="1" applyFill="1" applyBorder="1" applyAlignment="1">
      <alignment horizontal="center" vertical="center" wrapText="1" shrinkToFit="1"/>
    </xf>
    <xf numFmtId="164" fontId="35" fillId="42" borderId="10" xfId="0" applyNumberFormat="1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wrapText="1"/>
    </xf>
    <xf numFmtId="0" fontId="4" fillId="42" borderId="13" xfId="0" applyFont="1" applyFill="1" applyBorder="1" applyAlignment="1">
      <alignment horizontal="center" wrapText="1"/>
    </xf>
    <xf numFmtId="168" fontId="38" fillId="0" borderId="0" xfId="98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0" fontId="46" fillId="0" borderId="10" xfId="77" applyFont="1" applyFill="1" applyBorder="1" applyAlignment="1">
      <alignment horizontal="center" vertical="center" wrapText="1"/>
      <protection/>
    </xf>
    <xf numFmtId="164" fontId="9" fillId="47" borderId="10" xfId="0" applyNumberFormat="1" applyFont="1" applyFill="1" applyBorder="1" applyAlignment="1">
      <alignment horizontal="center" vertical="center" wrapText="1"/>
    </xf>
    <xf numFmtId="1" fontId="9" fillId="47" borderId="10" xfId="0" applyNumberFormat="1" applyFont="1" applyFill="1" applyBorder="1" applyAlignment="1">
      <alignment horizontal="center" vertical="center" wrapText="1"/>
    </xf>
    <xf numFmtId="0" fontId="25" fillId="0" borderId="0" xfId="80" applyFont="1" applyFill="1" applyBorder="1" applyAlignment="1">
      <alignment horizontal="center" vertical="center" wrapText="1"/>
      <protection/>
    </xf>
    <xf numFmtId="0" fontId="54" fillId="0" borderId="0" xfId="80" applyFont="1" applyFill="1" applyBorder="1" applyAlignment="1">
      <alignment horizontal="center" vertical="center" wrapText="1"/>
      <protection/>
    </xf>
    <xf numFmtId="0" fontId="35" fillId="0" borderId="0" xfId="78" applyFont="1" applyAlignment="1">
      <alignment/>
      <protection/>
    </xf>
    <xf numFmtId="0" fontId="0" fillId="0" borderId="0" xfId="78">
      <alignment/>
      <protection/>
    </xf>
    <xf numFmtId="0" fontId="22" fillId="0" borderId="0" xfId="78" applyFont="1" applyBorder="1" applyAlignment="1">
      <alignment/>
      <protection/>
    </xf>
    <xf numFmtId="0" fontId="22" fillId="0" borderId="0" xfId="78" applyFont="1" applyAlignment="1">
      <alignment horizontal="center"/>
      <protection/>
    </xf>
    <xf numFmtId="0" fontId="22" fillId="0" borderId="0" xfId="78" applyFont="1" applyAlignment="1">
      <alignment/>
      <protection/>
    </xf>
    <xf numFmtId="165" fontId="24" fillId="0" borderId="10" xfId="78" applyNumberFormat="1" applyFont="1" applyFill="1" applyBorder="1" applyAlignment="1">
      <alignment horizontal="center" vertical="center" wrapText="1"/>
      <protection/>
    </xf>
    <xf numFmtId="164" fontId="24" fillId="48" borderId="17" xfId="78" applyNumberFormat="1" applyFont="1" applyFill="1" applyBorder="1" applyAlignment="1">
      <alignment horizontal="center" vertical="center" wrapText="1"/>
      <protection/>
    </xf>
    <xf numFmtId="164" fontId="35" fillId="0" borderId="10" xfId="78" applyNumberFormat="1" applyFont="1" applyFill="1" applyBorder="1" applyAlignment="1">
      <alignment horizontal="center" vertical="center" wrapText="1"/>
      <protection/>
    </xf>
    <xf numFmtId="2" fontId="42" fillId="48" borderId="10" xfId="78" applyNumberFormat="1" applyFont="1" applyFill="1" applyBorder="1" applyAlignment="1">
      <alignment horizontal="left" vertical="center" wrapText="1"/>
      <protection/>
    </xf>
    <xf numFmtId="3" fontId="35" fillId="48" borderId="17" xfId="78" applyNumberFormat="1" applyFont="1" applyFill="1" applyBorder="1" applyAlignment="1">
      <alignment horizontal="center" vertical="center"/>
      <protection/>
    </xf>
    <xf numFmtId="3" fontId="24" fillId="48" borderId="17" xfId="78" applyNumberFormat="1" applyFont="1" applyFill="1" applyBorder="1" applyAlignment="1">
      <alignment horizontal="center" vertical="center" wrapText="1"/>
      <protection/>
    </xf>
    <xf numFmtId="3" fontId="24" fillId="48" borderId="10" xfId="78" applyNumberFormat="1" applyFont="1" applyFill="1" applyBorder="1" applyAlignment="1">
      <alignment horizontal="center" vertical="center" wrapText="1"/>
      <protection/>
    </xf>
    <xf numFmtId="2" fontId="56" fillId="48" borderId="10" xfId="78" applyNumberFormat="1" applyFont="1" applyFill="1" applyBorder="1" applyAlignment="1">
      <alignment horizontal="left" vertical="center"/>
      <protection/>
    </xf>
    <xf numFmtId="3" fontId="35" fillId="0" borderId="18" xfId="78" applyNumberFormat="1" applyFont="1" applyFill="1" applyBorder="1" applyAlignment="1">
      <alignment horizontal="center" vertical="center"/>
      <protection/>
    </xf>
    <xf numFmtId="0" fontId="24" fillId="48" borderId="10" xfId="78" applyFont="1" applyFill="1" applyBorder="1" applyAlignment="1">
      <alignment horizontal="center" vertical="center" wrapText="1"/>
      <protection/>
    </xf>
    <xf numFmtId="0" fontId="24" fillId="48" borderId="10" xfId="78" applyFont="1" applyFill="1" applyBorder="1" applyAlignment="1">
      <alignment horizontal="center"/>
      <protection/>
    </xf>
    <xf numFmtId="0" fontId="28" fillId="48" borderId="10" xfId="78" applyFont="1" applyFill="1" applyBorder="1">
      <alignment/>
      <protection/>
    </xf>
    <xf numFmtId="2" fontId="42" fillId="0" borderId="17" xfId="78" applyNumberFormat="1" applyFont="1" applyFill="1" applyBorder="1" applyAlignment="1">
      <alignment horizontal="left" vertical="center"/>
      <protection/>
    </xf>
    <xf numFmtId="3" fontId="35" fillId="0" borderId="17" xfId="78" applyNumberFormat="1" applyFont="1" applyFill="1" applyBorder="1" applyAlignment="1">
      <alignment horizontal="center" vertical="center" wrapText="1"/>
      <protection/>
    </xf>
    <xf numFmtId="0" fontId="35" fillId="0" borderId="10" xfId="78" applyFont="1" applyFill="1" applyBorder="1" applyAlignment="1">
      <alignment horizontal="center" vertical="center" wrapText="1"/>
      <protection/>
    </xf>
    <xf numFmtId="0" fontId="35" fillId="0" borderId="10" xfId="78" applyFont="1" applyFill="1" applyBorder="1" applyAlignment="1">
      <alignment horizontal="center"/>
      <protection/>
    </xf>
    <xf numFmtId="0" fontId="0" fillId="0" borderId="10" xfId="78" applyFill="1" applyBorder="1">
      <alignment/>
      <protection/>
    </xf>
    <xf numFmtId="3" fontId="35" fillId="0" borderId="17" xfId="78" applyNumberFormat="1" applyFont="1" applyFill="1" applyBorder="1" applyAlignment="1">
      <alignment horizontal="center" vertical="center"/>
      <protection/>
    </xf>
    <xf numFmtId="3" fontId="35" fillId="0" borderId="10" xfId="78" applyNumberFormat="1" applyFont="1" applyFill="1" applyBorder="1" applyAlignment="1">
      <alignment horizontal="center" vertical="center" wrapText="1"/>
      <protection/>
    </xf>
    <xf numFmtId="1" fontId="21" fillId="0" borderId="19" xfId="78" applyNumberFormat="1" applyFont="1" applyFill="1" applyBorder="1" applyAlignment="1">
      <alignment horizontal="center" vertical="center"/>
      <protection/>
    </xf>
    <xf numFmtId="3" fontId="35" fillId="0" borderId="10" xfId="78" applyNumberFormat="1" applyFont="1" applyFill="1" applyBorder="1" applyAlignment="1">
      <alignment horizontal="center" vertical="center"/>
      <protection/>
    </xf>
    <xf numFmtId="0" fontId="24" fillId="48" borderId="10" xfId="78" applyFont="1" applyFill="1" applyBorder="1">
      <alignment/>
      <protection/>
    </xf>
    <xf numFmtId="0" fontId="35" fillId="48" borderId="10" xfId="78" applyFont="1" applyFill="1" applyBorder="1" applyAlignment="1">
      <alignment vertical="center" wrapText="1"/>
      <protection/>
    </xf>
    <xf numFmtId="1" fontId="35" fillId="0" borderId="19" xfId="78" applyNumberFormat="1" applyFont="1" applyFill="1" applyBorder="1" applyAlignment="1">
      <alignment vertical="center" textRotation="90" readingOrder="1"/>
      <protection/>
    </xf>
    <xf numFmtId="0" fontId="21" fillId="0" borderId="10" xfId="78" applyFont="1" applyFill="1" applyBorder="1">
      <alignment/>
      <protection/>
    </xf>
    <xf numFmtId="3" fontId="35" fillId="49" borderId="17" xfId="78" applyNumberFormat="1" applyFont="1" applyFill="1" applyBorder="1" applyAlignment="1">
      <alignment horizontal="center" vertical="center" wrapText="1"/>
      <protection/>
    </xf>
    <xf numFmtId="3" fontId="35" fillId="50" borderId="17" xfId="78" applyNumberFormat="1" applyFont="1" applyFill="1" applyBorder="1" applyAlignment="1">
      <alignment horizontal="center" vertical="center" wrapText="1"/>
      <protection/>
    </xf>
    <xf numFmtId="0" fontId="56" fillId="48" borderId="10" xfId="78" applyFont="1" applyFill="1" applyBorder="1" applyAlignment="1">
      <alignment horizontal="left" vertical="center" wrapText="1"/>
      <protection/>
    </xf>
    <xf numFmtId="0" fontId="35" fillId="0" borderId="10" xfId="78" applyFont="1" applyFill="1" applyBorder="1">
      <alignment/>
      <protection/>
    </xf>
    <xf numFmtId="1" fontId="38" fillId="0" borderId="19" xfId="78" applyNumberFormat="1" applyFont="1" applyFill="1" applyBorder="1" applyAlignment="1">
      <alignment vertical="center" textRotation="90" wrapText="1"/>
      <protection/>
    </xf>
    <xf numFmtId="0" fontId="35" fillId="0" borderId="10" xfId="78" applyFont="1" applyFill="1" applyBorder="1" applyAlignment="1">
      <alignment vertical="center" wrapText="1"/>
      <protection/>
    </xf>
    <xf numFmtId="2" fontId="42" fillId="48" borderId="10" xfId="78" applyNumberFormat="1" applyFont="1" applyFill="1" applyBorder="1" applyAlignment="1">
      <alignment horizontal="left" vertical="center"/>
      <protection/>
    </xf>
    <xf numFmtId="3" fontId="35" fillId="46" borderId="18" xfId="78" applyNumberFormat="1" applyFont="1" applyFill="1" applyBorder="1" applyAlignment="1">
      <alignment horizontal="center" vertical="center"/>
      <protection/>
    </xf>
    <xf numFmtId="3" fontId="35" fillId="46" borderId="17" xfId="78" applyNumberFormat="1" applyFont="1" applyFill="1" applyBorder="1" applyAlignment="1">
      <alignment horizontal="center" vertical="center" wrapText="1"/>
      <protection/>
    </xf>
    <xf numFmtId="0" fontId="35" fillId="46" borderId="10" xfId="78" applyFont="1" applyFill="1" applyBorder="1" applyAlignment="1">
      <alignment horizontal="center"/>
      <protection/>
    </xf>
    <xf numFmtId="0" fontId="35" fillId="46" borderId="10" xfId="78" applyFont="1" applyFill="1" applyBorder="1" applyAlignment="1">
      <alignment horizontal="center" vertical="center" wrapText="1"/>
      <protection/>
    </xf>
    <xf numFmtId="0" fontId="0" fillId="46" borderId="10" xfId="78" applyFill="1" applyBorder="1">
      <alignment/>
      <protection/>
    </xf>
    <xf numFmtId="3" fontId="35" fillId="46" borderId="17" xfId="78" applyNumberFormat="1" applyFont="1" applyFill="1" applyBorder="1" applyAlignment="1">
      <alignment horizontal="center" vertical="center"/>
      <protection/>
    </xf>
    <xf numFmtId="3" fontId="35" fillId="46" borderId="10" xfId="78" applyNumberFormat="1" applyFont="1" applyFill="1" applyBorder="1" applyAlignment="1">
      <alignment horizontal="center" vertical="center" wrapText="1"/>
      <protection/>
    </xf>
    <xf numFmtId="1" fontId="35" fillId="46" borderId="19" xfId="78" applyNumberFormat="1" applyFont="1" applyFill="1" applyBorder="1" applyAlignment="1">
      <alignment horizontal="center" vertical="center"/>
      <protection/>
    </xf>
    <xf numFmtId="0" fontId="35" fillId="46" borderId="10" xfId="78" applyFont="1" applyFill="1" applyBorder="1" applyAlignment="1">
      <alignment vertical="center" wrapText="1"/>
      <protection/>
    </xf>
    <xf numFmtId="2" fontId="42" fillId="48" borderId="20" xfId="78" applyNumberFormat="1" applyFont="1" applyFill="1" applyBorder="1" applyAlignment="1">
      <alignment horizontal="left" vertical="center" wrapText="1"/>
      <protection/>
    </xf>
    <xf numFmtId="2" fontId="42" fillId="48" borderId="20" xfId="78" applyNumberFormat="1" applyFont="1" applyFill="1" applyBorder="1" applyAlignment="1">
      <alignment horizontal="left" vertical="center"/>
      <protection/>
    </xf>
    <xf numFmtId="2" fontId="42" fillId="48" borderId="15" xfId="78" applyNumberFormat="1" applyFont="1" applyFill="1" applyBorder="1" applyAlignment="1">
      <alignment vertical="center"/>
      <protection/>
    </xf>
    <xf numFmtId="2" fontId="42" fillId="48" borderId="20" xfId="78" applyNumberFormat="1" applyFont="1" applyFill="1" applyBorder="1" applyAlignment="1">
      <alignment vertical="center"/>
      <protection/>
    </xf>
    <xf numFmtId="1" fontId="48" fillId="0" borderId="10" xfId="78" applyNumberFormat="1" applyFont="1" applyFill="1" applyBorder="1" applyAlignment="1">
      <alignment horizontal="center" vertical="center" wrapText="1"/>
      <protection/>
    </xf>
    <xf numFmtId="1" fontId="23" fillId="48" borderId="10" xfId="78" applyNumberFormat="1" applyFont="1" applyFill="1" applyBorder="1" applyAlignment="1">
      <alignment horizontal="center" vertical="center" wrapText="1"/>
      <protection/>
    </xf>
    <xf numFmtId="0" fontId="35" fillId="48" borderId="10" xfId="78" applyFont="1" applyFill="1" applyBorder="1" applyAlignment="1">
      <alignment horizontal="center" vertical="center" wrapText="1"/>
      <protection/>
    </xf>
    <xf numFmtId="1" fontId="49" fillId="0" borderId="10" xfId="78" applyNumberFormat="1" applyFont="1" applyFill="1" applyBorder="1" applyAlignment="1">
      <alignment horizontal="center" vertical="center" wrapText="1"/>
      <protection/>
    </xf>
    <xf numFmtId="3" fontId="20" fillId="48" borderId="10" xfId="78" applyNumberFormat="1" applyFont="1" applyFill="1" applyBorder="1" applyAlignment="1">
      <alignment horizontal="center" vertical="center" wrapText="1"/>
      <protection/>
    </xf>
    <xf numFmtId="3" fontId="24" fillId="0" borderId="10" xfId="78" applyNumberFormat="1" applyFont="1" applyFill="1" applyBorder="1" applyAlignment="1">
      <alignment horizontal="center" vertical="center" wrapText="1"/>
      <protection/>
    </xf>
    <xf numFmtId="0" fontId="0" fillId="48" borderId="10" xfId="78" applyFill="1" applyBorder="1" applyAlignment="1">
      <alignment horizontal="center" vertical="center" wrapText="1"/>
      <protection/>
    </xf>
    <xf numFmtId="2" fontId="35" fillId="0" borderId="0" xfId="78" applyNumberFormat="1" applyFont="1" applyFill="1" applyBorder="1" applyAlignment="1">
      <alignment horizontal="center" vertical="center" wrapText="1"/>
      <protection/>
    </xf>
    <xf numFmtId="1" fontId="49" fillId="0" borderId="0" xfId="78" applyNumberFormat="1" applyFont="1" applyFill="1" applyBorder="1" applyAlignment="1">
      <alignment horizontal="center" vertical="center" wrapText="1"/>
      <protection/>
    </xf>
    <xf numFmtId="3" fontId="35" fillId="0" borderId="0" xfId="78" applyNumberFormat="1" applyFont="1" applyFill="1" applyBorder="1" applyAlignment="1">
      <alignment horizontal="center" vertical="center" wrapText="1"/>
      <protection/>
    </xf>
    <xf numFmtId="0" fontId="35" fillId="0" borderId="0" xfId="78" applyFont="1" applyFill="1" applyBorder="1" applyAlignment="1">
      <alignment horizontal="center" vertical="center" wrapText="1"/>
      <protection/>
    </xf>
    <xf numFmtId="0" fontId="0" fillId="0" borderId="0" xfId="78" applyFill="1" applyBorder="1">
      <alignment/>
      <protection/>
    </xf>
    <xf numFmtId="0" fontId="0" fillId="0" borderId="0" xfId="78" applyFill="1" applyBorder="1" applyAlignment="1">
      <alignment horizontal="center" vertical="center" wrapText="1"/>
      <protection/>
    </xf>
    <xf numFmtId="1" fontId="59" fillId="0" borderId="0" xfId="78" applyNumberFormat="1" applyFont="1" applyFill="1" applyBorder="1" applyAlignment="1">
      <alignment horizontal="center" vertical="center"/>
      <protection/>
    </xf>
    <xf numFmtId="2" fontId="60" fillId="0" borderId="0" xfId="78" applyNumberFormat="1" applyFont="1" applyFill="1" applyBorder="1" applyAlignment="1">
      <alignment horizontal="left" vertical="center" wrapText="1"/>
      <protection/>
    </xf>
    <xf numFmtId="3" fontId="24" fillId="0" borderId="0" xfId="78" applyNumberFormat="1" applyFont="1" applyAlignment="1">
      <alignment horizontal="center" vertical="center" wrapText="1"/>
      <protection/>
    </xf>
    <xf numFmtId="0" fontId="24" fillId="0" borderId="0" xfId="78" applyFont="1" applyBorder="1" applyAlignment="1">
      <alignment horizontal="center"/>
      <protection/>
    </xf>
    <xf numFmtId="0" fontId="61" fillId="0" borderId="21" xfId="78" applyFont="1" applyBorder="1">
      <alignment/>
      <protection/>
    </xf>
    <xf numFmtId="0" fontId="61" fillId="0" borderId="22" xfId="78" applyFont="1" applyBorder="1">
      <alignment/>
      <protection/>
    </xf>
    <xf numFmtId="0" fontId="42" fillId="0" borderId="10" xfId="78" applyFont="1" applyBorder="1" applyAlignment="1">
      <alignment horizontal="center" vertical="center" wrapText="1"/>
      <protection/>
    </xf>
    <xf numFmtId="0" fontId="42" fillId="0" borderId="0" xfId="78" applyFont="1" applyBorder="1" applyAlignment="1">
      <alignment horizontal="center" vertical="center" wrapText="1"/>
      <protection/>
    </xf>
    <xf numFmtId="0" fontId="61" fillId="0" borderId="23" xfId="78" applyFont="1" applyBorder="1">
      <alignment/>
      <protection/>
    </xf>
    <xf numFmtId="0" fontId="61" fillId="0" borderId="20" xfId="78" applyFont="1" applyBorder="1">
      <alignment/>
      <protection/>
    </xf>
    <xf numFmtId="0" fontId="61" fillId="0" borderId="11" xfId="78" applyFont="1" applyBorder="1" applyAlignment="1">
      <alignment horizontal="center" vertical="center" wrapText="1"/>
      <protection/>
    </xf>
    <xf numFmtId="0" fontId="61" fillId="0" borderId="24" xfId="78" applyFont="1" applyBorder="1" applyAlignment="1">
      <alignment horizontal="center" vertical="center" wrapText="1"/>
      <protection/>
    </xf>
    <xf numFmtId="0" fontId="61" fillId="0" borderId="0" xfId="78" applyFont="1" applyBorder="1" applyAlignment="1">
      <alignment horizontal="center" vertical="center" wrapText="1"/>
      <protection/>
    </xf>
    <xf numFmtId="0" fontId="61" fillId="0" borderId="21" xfId="78" applyFont="1" applyBorder="1" applyAlignment="1">
      <alignment horizontal="center" vertical="center" wrapText="1"/>
      <protection/>
    </xf>
    <xf numFmtId="0" fontId="61" fillId="0" borderId="10" xfId="78" applyFont="1" applyBorder="1" applyAlignment="1">
      <alignment horizontal="center" vertical="center" wrapText="1"/>
      <protection/>
    </xf>
    <xf numFmtId="0" fontId="61" fillId="0" borderId="23" xfId="78" applyFont="1" applyBorder="1" applyAlignment="1">
      <alignment horizontal="center" vertical="center" wrapText="1"/>
      <protection/>
    </xf>
    <xf numFmtId="0" fontId="61" fillId="0" borderId="15" xfId="78" applyFont="1" applyBorder="1" applyAlignment="1">
      <alignment horizontal="center" vertical="center" wrapText="1"/>
      <protection/>
    </xf>
    <xf numFmtId="0" fontId="61" fillId="0" borderId="21" xfId="78" applyFont="1" applyBorder="1" applyAlignment="1">
      <alignment vertical="center" wrapText="1"/>
      <protection/>
    </xf>
    <xf numFmtId="0" fontId="61" fillId="0" borderId="24" xfId="78" applyFont="1" applyBorder="1" applyAlignment="1">
      <alignment horizontal="left" vertical="center" wrapText="1"/>
      <protection/>
    </xf>
    <xf numFmtId="0" fontId="35" fillId="0" borderId="0" xfId="78" applyFont="1" applyAlignment="1">
      <alignment horizontal="left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0" fillId="7" borderId="25" xfId="0" applyFill="1" applyBorder="1" applyAlignment="1">
      <alignment/>
    </xf>
    <xf numFmtId="0" fontId="0" fillId="7" borderId="20" xfId="0" applyFill="1" applyBorder="1" applyAlignment="1">
      <alignment/>
    </xf>
    <xf numFmtId="0" fontId="48" fillId="7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1" fontId="48" fillId="7" borderId="10" xfId="0" applyNumberFormat="1" applyFont="1" applyFill="1" applyBorder="1" applyAlignment="1">
      <alignment horizontal="center" vertical="center"/>
    </xf>
    <xf numFmtId="1" fontId="48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24" fillId="7" borderId="10" xfId="0" applyFont="1" applyFill="1" applyBorder="1" applyAlignment="1">
      <alignment horizontal="center" vertical="center"/>
    </xf>
    <xf numFmtId="1" fontId="24" fillId="7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8" fillId="5" borderId="10" xfId="0" applyFont="1" applyFill="1" applyBorder="1" applyAlignment="1">
      <alignment/>
    </xf>
    <xf numFmtId="0" fontId="48" fillId="5" borderId="10" xfId="0" applyFont="1" applyFill="1" applyBorder="1" applyAlignment="1">
      <alignment vertical="center" wrapText="1"/>
    </xf>
    <xf numFmtId="1" fontId="64" fillId="7" borderId="1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Alignment="1">
      <alignment/>
    </xf>
    <xf numFmtId="0" fontId="4" fillId="0" borderId="0" xfId="0" applyFont="1" applyAlignment="1">
      <alignment/>
    </xf>
    <xf numFmtId="0" fontId="29" fillId="0" borderId="0" xfId="0" applyFont="1" applyAlignment="1">
      <alignment/>
    </xf>
    <xf numFmtId="0" fontId="20" fillId="51" borderId="10" xfId="0" applyFont="1" applyFill="1" applyBorder="1" applyAlignment="1">
      <alignment horizontal="center" vertical="center" wrapText="1"/>
    </xf>
    <xf numFmtId="0" fontId="20" fillId="51" borderId="10" xfId="0" applyFont="1" applyFill="1" applyBorder="1" applyAlignment="1">
      <alignment horizontal="left" vertical="center" wrapText="1"/>
    </xf>
    <xf numFmtId="0" fontId="20" fillId="51" borderId="11" xfId="0" applyFont="1" applyFill="1" applyBorder="1" applyAlignment="1">
      <alignment vertical="center" wrapText="1"/>
    </xf>
    <xf numFmtId="0" fontId="20" fillId="51" borderId="15" xfId="0" applyFont="1" applyFill="1" applyBorder="1" applyAlignment="1">
      <alignment vertical="center" wrapText="1"/>
    </xf>
    <xf numFmtId="1" fontId="20" fillId="51" borderId="10" xfId="0" applyNumberFormat="1" applyFont="1" applyFill="1" applyBorder="1" applyAlignment="1">
      <alignment horizontal="center" vertical="center" wrapText="1"/>
    </xf>
    <xf numFmtId="1" fontId="20" fillId="51" borderId="11" xfId="0" applyNumberFormat="1" applyFont="1" applyFill="1" applyBorder="1" applyAlignment="1">
      <alignment vertical="center" wrapText="1"/>
    </xf>
    <xf numFmtId="1" fontId="20" fillId="51" borderId="15" xfId="0" applyNumberFormat="1" applyFont="1" applyFill="1" applyBorder="1" applyAlignment="1">
      <alignment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37" borderId="10" xfId="0" applyFont="1" applyFill="1" applyBorder="1" applyAlignment="1">
      <alignment horizontal="center" vertical="center" wrapText="1"/>
    </xf>
    <xf numFmtId="0" fontId="20" fillId="52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1" fontId="20" fillId="0" borderId="10" xfId="0" applyNumberFormat="1" applyFont="1" applyFill="1" applyBorder="1" applyAlignment="1">
      <alignment horizontal="center" vertical="center" wrapText="1"/>
    </xf>
    <xf numFmtId="1" fontId="20" fillId="7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29" fillId="42" borderId="0" xfId="0" applyFont="1" applyFill="1" applyAlignment="1">
      <alignment/>
    </xf>
    <xf numFmtId="0" fontId="29" fillId="16" borderId="0" xfId="0" applyFont="1" applyFill="1" applyAlignment="1">
      <alignment/>
    </xf>
    <xf numFmtId="0" fontId="20" fillId="51" borderId="11" xfId="0" applyFont="1" applyFill="1" applyBorder="1" applyAlignment="1">
      <alignment horizontal="center" vertical="center" wrapText="1"/>
    </xf>
    <xf numFmtId="1" fontId="20" fillId="51" borderId="11" xfId="0" applyNumberFormat="1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/>
    </xf>
    <xf numFmtId="2" fontId="116" fillId="0" borderId="10" xfId="0" applyNumberFormat="1" applyFont="1" applyFill="1" applyBorder="1" applyAlignment="1">
      <alignment horizontal="left" vertical="center" wrapText="1"/>
    </xf>
    <xf numFmtId="0" fontId="34" fillId="7" borderId="10" xfId="0" applyFont="1" applyFill="1" applyBorder="1" applyAlignment="1">
      <alignment horizontal="center" vertical="center" wrapText="1"/>
    </xf>
    <xf numFmtId="2" fontId="35" fillId="7" borderId="10" xfId="0" applyNumberFormat="1" applyFont="1" applyFill="1" applyBorder="1" applyAlignment="1">
      <alignment horizontal="center" vertical="center"/>
    </xf>
    <xf numFmtId="0" fontId="35" fillId="7" borderId="10" xfId="0" applyFont="1" applyFill="1" applyBorder="1" applyAlignment="1">
      <alignment horizontal="center" vertical="center"/>
    </xf>
    <xf numFmtId="0" fontId="38" fillId="7" borderId="10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 applyProtection="1">
      <alignment horizontal="center" vertical="center" wrapText="1"/>
      <protection/>
    </xf>
    <xf numFmtId="0" fontId="6" fillId="37" borderId="10" xfId="0" applyFont="1" applyFill="1" applyBorder="1" applyAlignment="1">
      <alignment horizontal="center" vertical="center" wrapText="1"/>
    </xf>
    <xf numFmtId="1" fontId="9" fillId="53" borderId="10" xfId="0" applyNumberFormat="1" applyFont="1" applyFill="1" applyBorder="1" applyAlignment="1">
      <alignment horizontal="center" vertical="center"/>
    </xf>
    <xf numFmtId="164" fontId="9" fillId="53" borderId="10" xfId="0" applyNumberFormat="1" applyFont="1" applyFill="1" applyBorder="1" applyAlignment="1">
      <alignment horizontal="center" vertical="center"/>
    </xf>
    <xf numFmtId="2" fontId="9" fillId="54" borderId="10" xfId="0" applyNumberFormat="1" applyFont="1" applyFill="1" applyBorder="1" applyAlignment="1">
      <alignment horizontal="center" vertical="center"/>
    </xf>
    <xf numFmtId="2" fontId="9" fillId="53" borderId="10" xfId="0" applyNumberFormat="1" applyFont="1" applyFill="1" applyBorder="1" applyAlignment="1">
      <alignment horizontal="center" vertical="center"/>
    </xf>
    <xf numFmtId="1" fontId="9" fillId="53" borderId="10" xfId="0" applyNumberFormat="1" applyFont="1" applyFill="1" applyBorder="1" applyAlignment="1">
      <alignment horizontal="center" vertical="center" wrapText="1"/>
    </xf>
    <xf numFmtId="0" fontId="51" fillId="0" borderId="10" xfId="80" applyFont="1" applyFill="1" applyBorder="1" applyAlignment="1">
      <alignment horizontal="center" vertical="center" wrapText="1"/>
      <protection/>
    </xf>
    <xf numFmtId="0" fontId="51" fillId="0" borderId="10" xfId="80" applyNumberFormat="1" applyFont="1" applyFill="1" applyBorder="1" applyAlignment="1">
      <alignment horizontal="center" vertical="center" wrapText="1"/>
      <protection/>
    </xf>
    <xf numFmtId="0" fontId="18" fillId="0" borderId="10" xfId="79" applyFont="1" applyBorder="1">
      <alignment/>
      <protection/>
    </xf>
    <xf numFmtId="0" fontId="25" fillId="0" borderId="10" xfId="79" applyNumberFormat="1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" fontId="35" fillId="48" borderId="26" xfId="78" applyNumberFormat="1" applyFont="1" applyFill="1" applyBorder="1" applyAlignment="1">
      <alignment horizontal="center" vertical="center"/>
      <protection/>
    </xf>
    <xf numFmtId="2" fontId="42" fillId="48" borderId="17" xfId="78" applyNumberFormat="1" applyFont="1" applyFill="1" applyBorder="1" applyAlignment="1">
      <alignment horizontal="left" vertical="center" wrapText="1"/>
      <protection/>
    </xf>
    <xf numFmtId="2" fontId="35" fillId="48" borderId="17" xfId="78" applyNumberFormat="1" applyFont="1" applyFill="1" applyBorder="1" applyAlignment="1">
      <alignment horizontal="left" vertical="center"/>
      <protection/>
    </xf>
    <xf numFmtId="0" fontId="0" fillId="48" borderId="17" xfId="78" applyFill="1" applyBorder="1">
      <alignment/>
      <protection/>
    </xf>
    <xf numFmtId="164" fontId="24" fillId="42" borderId="10" xfId="78" applyNumberFormat="1" applyFont="1" applyFill="1" applyBorder="1" applyAlignment="1">
      <alignment horizontal="center" vertical="center" wrapText="1"/>
      <protection/>
    </xf>
    <xf numFmtId="165" fontId="46" fillId="0" borderId="10" xfId="0" applyNumberFormat="1" applyFont="1" applyFill="1" applyBorder="1" applyAlignment="1" applyProtection="1">
      <alignment horizontal="center" vertical="center" wrapText="1"/>
      <protection/>
    </xf>
    <xf numFmtId="4" fontId="65" fillId="0" borderId="10" xfId="0" applyNumberFormat="1" applyFont="1" applyFill="1" applyBorder="1" applyAlignment="1" applyProtection="1">
      <alignment horizontal="center" vertical="center" wrapText="1"/>
      <protection/>
    </xf>
    <xf numFmtId="165" fontId="65" fillId="0" borderId="10" xfId="0" applyNumberFormat="1" applyFont="1" applyFill="1" applyBorder="1" applyAlignment="1" applyProtection="1">
      <alignment horizontal="center" vertical="center" wrapText="1"/>
      <protection/>
    </xf>
    <xf numFmtId="0" fontId="65" fillId="0" borderId="10" xfId="0" applyFont="1" applyFill="1" applyBorder="1" applyAlignment="1" applyProtection="1">
      <alignment horizontal="center" vertical="center" wrapText="1"/>
      <protection/>
    </xf>
    <xf numFmtId="169" fontId="65" fillId="0" borderId="10" xfId="0" applyNumberFormat="1" applyFont="1" applyFill="1" applyBorder="1" applyAlignment="1" applyProtection="1">
      <alignment horizontal="center" vertical="center" wrapText="1"/>
      <protection/>
    </xf>
    <xf numFmtId="2" fontId="65" fillId="0" borderId="10" xfId="0" applyNumberFormat="1" applyFont="1" applyFill="1" applyBorder="1" applyAlignment="1" applyProtection="1">
      <alignment horizontal="center" vertical="center" wrapText="1"/>
      <protection/>
    </xf>
    <xf numFmtId="4" fontId="46" fillId="0" borderId="10" xfId="0" applyNumberFormat="1" applyFont="1" applyFill="1" applyBorder="1" applyAlignment="1" applyProtection="1">
      <alignment horizontal="center" vertical="center" wrapText="1"/>
      <protection/>
    </xf>
    <xf numFmtId="2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164" fontId="65" fillId="0" borderId="10" xfId="0" applyNumberFormat="1" applyFont="1" applyFill="1" applyBorder="1" applyAlignment="1" applyProtection="1">
      <alignment horizontal="center" vertical="center" wrapText="1"/>
      <protection/>
    </xf>
    <xf numFmtId="1" fontId="35" fillId="0" borderId="10" xfId="78" applyNumberFormat="1" applyFont="1" applyFill="1" applyBorder="1" applyAlignment="1">
      <alignment horizontal="center" vertical="center" wrapText="1"/>
      <protection/>
    </xf>
    <xf numFmtId="1" fontId="24" fillId="0" borderId="10" xfId="78" applyNumberFormat="1" applyFont="1" applyFill="1" applyBorder="1" applyAlignment="1">
      <alignment horizontal="center" vertical="center" wrapText="1"/>
      <protection/>
    </xf>
    <xf numFmtId="165" fontId="35" fillId="0" borderId="10" xfId="78" applyNumberFormat="1" applyFont="1" applyFill="1" applyBorder="1" applyAlignment="1">
      <alignment horizontal="center" vertical="center" wrapText="1"/>
      <protection/>
    </xf>
    <xf numFmtId="166" fontId="24" fillId="0" borderId="10" xfId="78" applyNumberFormat="1" applyFont="1" applyFill="1" applyBorder="1" applyAlignment="1">
      <alignment horizontal="center" vertical="center" wrapText="1"/>
      <protection/>
    </xf>
    <xf numFmtId="164" fontId="35" fillId="0" borderId="11" xfId="78" applyNumberFormat="1" applyFont="1" applyFill="1" applyBorder="1" applyAlignment="1">
      <alignment horizontal="center" vertical="center" wrapText="1"/>
      <protection/>
    </xf>
    <xf numFmtId="164" fontId="35" fillId="0" borderId="15" xfId="78" applyNumberFormat="1" applyFont="1" applyFill="1" applyBorder="1" applyAlignment="1">
      <alignment horizontal="center" vertical="center" wrapText="1"/>
      <protection/>
    </xf>
    <xf numFmtId="1" fontId="24" fillId="0" borderId="19" xfId="78" applyNumberFormat="1" applyFont="1" applyFill="1" applyBorder="1" applyAlignment="1">
      <alignment horizontal="center" vertical="center" wrapText="1"/>
      <protection/>
    </xf>
    <xf numFmtId="1" fontId="24" fillId="0" borderId="12" xfId="78" applyNumberFormat="1" applyFont="1" applyFill="1" applyBorder="1" applyAlignment="1">
      <alignment horizontal="center" vertical="center" wrapText="1"/>
      <protection/>
    </xf>
    <xf numFmtId="166" fontId="24" fillId="0" borderId="12" xfId="78" applyNumberFormat="1" applyFont="1" applyFill="1" applyBorder="1" applyAlignment="1">
      <alignment horizontal="center" vertical="center" wrapText="1"/>
      <protection/>
    </xf>
    <xf numFmtId="164" fontId="35" fillId="0" borderId="19" xfId="78" applyNumberFormat="1" applyFont="1" applyFill="1" applyBorder="1" applyAlignment="1">
      <alignment horizontal="center" vertical="center" wrapText="1"/>
      <protection/>
    </xf>
    <xf numFmtId="164" fontId="35" fillId="0" borderId="12" xfId="78" applyNumberFormat="1" applyFont="1" applyFill="1" applyBorder="1" applyAlignment="1">
      <alignment horizontal="center" vertical="center" wrapText="1"/>
      <protection/>
    </xf>
    <xf numFmtId="1" fontId="35" fillId="0" borderId="13" xfId="78" applyNumberFormat="1" applyFont="1" applyFill="1" applyBorder="1" applyAlignment="1">
      <alignment horizontal="center" vertical="center" wrapText="1"/>
      <protection/>
    </xf>
    <xf numFmtId="164" fontId="35" fillId="0" borderId="27" xfId="78" applyNumberFormat="1" applyFont="1" applyFill="1" applyBorder="1" applyAlignment="1">
      <alignment horizontal="center" vertical="center" wrapText="1"/>
      <protection/>
    </xf>
    <xf numFmtId="164" fontId="35" fillId="0" borderId="22" xfId="78" applyNumberFormat="1" applyFont="1" applyFill="1" applyBorder="1" applyAlignment="1">
      <alignment horizontal="center" vertical="center" wrapText="1"/>
      <protection/>
    </xf>
    <xf numFmtId="164" fontId="35" fillId="0" borderId="13" xfId="78" applyNumberFormat="1" applyFont="1" applyFill="1" applyBorder="1" applyAlignment="1">
      <alignment horizontal="center" vertical="center" wrapText="1"/>
      <protection/>
    </xf>
    <xf numFmtId="1" fontId="24" fillId="0" borderId="13" xfId="78" applyNumberFormat="1" applyFont="1" applyFill="1" applyBorder="1" applyAlignment="1">
      <alignment horizontal="center" vertical="center" wrapText="1"/>
      <protection/>
    </xf>
    <xf numFmtId="165" fontId="24" fillId="0" borderId="13" xfId="78" applyNumberFormat="1" applyFont="1" applyFill="1" applyBorder="1" applyAlignment="1">
      <alignment horizontal="center" vertical="center" wrapText="1"/>
      <protection/>
    </xf>
    <xf numFmtId="165" fontId="35" fillId="0" borderId="13" xfId="78" applyNumberFormat="1" applyFont="1" applyFill="1" applyBorder="1" applyAlignment="1">
      <alignment horizontal="center" vertical="center" wrapText="1"/>
      <protection/>
    </xf>
    <xf numFmtId="1" fontId="24" fillId="0" borderId="14" xfId="78" applyNumberFormat="1" applyFont="1" applyFill="1" applyBorder="1" applyAlignment="1">
      <alignment horizontal="center" vertical="center" wrapText="1"/>
      <protection/>
    </xf>
    <xf numFmtId="166" fontId="24" fillId="0" borderId="28" xfId="78" applyNumberFormat="1" applyFont="1" applyFill="1" applyBorder="1" applyAlignment="1">
      <alignment horizontal="center" vertical="center" wrapText="1"/>
      <protection/>
    </xf>
    <xf numFmtId="164" fontId="24" fillId="42" borderId="13" xfId="78" applyNumberFormat="1" applyFont="1" applyFill="1" applyBorder="1" applyAlignment="1">
      <alignment horizontal="center" vertical="center" wrapText="1"/>
      <protection/>
    </xf>
    <xf numFmtId="166" fontId="24" fillId="0" borderId="13" xfId="78" applyNumberFormat="1" applyFont="1" applyFill="1" applyBorder="1" applyAlignment="1">
      <alignment horizontal="center" vertical="center" wrapText="1"/>
      <protection/>
    </xf>
    <xf numFmtId="1" fontId="35" fillId="0" borderId="29" xfId="78" applyNumberFormat="1" applyFont="1" applyFill="1" applyBorder="1" applyAlignment="1">
      <alignment horizontal="center" vertical="center" wrapText="1"/>
      <protection/>
    </xf>
    <xf numFmtId="164" fontId="35" fillId="0" borderId="29" xfId="78" applyNumberFormat="1" applyFont="1" applyFill="1" applyBorder="1" applyAlignment="1">
      <alignment horizontal="center" vertical="center" wrapText="1"/>
      <protection/>
    </xf>
    <xf numFmtId="164" fontId="35" fillId="0" borderId="30" xfId="78" applyNumberFormat="1" applyFont="1" applyFill="1" applyBorder="1" applyAlignment="1">
      <alignment horizontal="center" vertical="center" wrapText="1"/>
      <protection/>
    </xf>
    <xf numFmtId="164" fontId="35" fillId="0" borderId="31" xfId="78" applyNumberFormat="1" applyFont="1" applyFill="1" applyBorder="1" applyAlignment="1">
      <alignment horizontal="center" vertical="center" wrapText="1"/>
      <protection/>
    </xf>
    <xf numFmtId="165" fontId="35" fillId="0" borderId="31" xfId="78" applyNumberFormat="1" applyFont="1" applyFill="1" applyBorder="1" applyAlignment="1">
      <alignment horizontal="center" vertical="center" wrapText="1"/>
      <protection/>
    </xf>
    <xf numFmtId="1" fontId="35" fillId="0" borderId="31" xfId="78" applyNumberFormat="1" applyFont="1" applyFill="1" applyBorder="1" applyAlignment="1">
      <alignment horizontal="center" vertical="center" wrapText="1"/>
      <protection/>
    </xf>
    <xf numFmtId="164" fontId="35" fillId="0" borderId="32" xfId="78" applyNumberFormat="1" applyFont="1" applyFill="1" applyBorder="1" applyAlignment="1">
      <alignment horizontal="center" vertical="center" wrapText="1"/>
      <protection/>
    </xf>
    <xf numFmtId="166" fontId="35" fillId="0" borderId="33" xfId="78" applyNumberFormat="1" applyFont="1" applyFill="1" applyBorder="1" applyAlignment="1">
      <alignment horizontal="center" vertical="center" wrapText="1"/>
      <protection/>
    </xf>
    <xf numFmtId="0" fontId="24" fillId="0" borderId="34" xfId="78" applyFont="1" applyFill="1" applyBorder="1" applyAlignment="1">
      <alignment vertical="center" wrapText="1"/>
      <protection/>
    </xf>
    <xf numFmtId="1" fontId="24" fillId="48" borderId="17" xfId="78" applyNumberFormat="1" applyFont="1" applyFill="1" applyBorder="1" applyAlignment="1">
      <alignment horizontal="center" vertical="center" wrapText="1"/>
      <protection/>
    </xf>
    <xf numFmtId="164" fontId="24" fillId="48" borderId="25" xfId="78" applyNumberFormat="1" applyFont="1" applyFill="1" applyBorder="1" applyAlignment="1">
      <alignment horizontal="center" vertical="center" wrapText="1"/>
      <protection/>
    </xf>
    <xf numFmtId="164" fontId="24" fillId="48" borderId="20" xfId="78" applyNumberFormat="1" applyFont="1" applyFill="1" applyBorder="1" applyAlignment="1">
      <alignment horizontal="center" vertical="center" wrapText="1"/>
      <protection/>
    </xf>
    <xf numFmtId="165" fontId="24" fillId="48" borderId="17" xfId="78" applyNumberFormat="1" applyFont="1" applyFill="1" applyBorder="1" applyAlignment="1">
      <alignment horizontal="center" vertical="center" wrapText="1"/>
      <protection/>
    </xf>
    <xf numFmtId="1" fontId="24" fillId="48" borderId="26" xfId="78" applyNumberFormat="1" applyFont="1" applyFill="1" applyBorder="1" applyAlignment="1">
      <alignment horizontal="center" vertical="center" wrapText="1"/>
      <protection/>
    </xf>
    <xf numFmtId="166" fontId="24" fillId="48" borderId="35" xfId="78" applyNumberFormat="1" applyFont="1" applyFill="1" applyBorder="1" applyAlignment="1">
      <alignment horizontal="center" vertical="center" wrapText="1"/>
      <protection/>
    </xf>
    <xf numFmtId="166" fontId="24" fillId="48" borderId="17" xfId="78" applyNumberFormat="1" applyFont="1" applyFill="1" applyBorder="1" applyAlignment="1">
      <alignment horizontal="center" vertical="center" wrapText="1"/>
      <protection/>
    </xf>
    <xf numFmtId="165" fontId="24" fillId="0" borderId="36" xfId="78" applyNumberFormat="1" applyFont="1" applyFill="1" applyBorder="1" applyAlignment="1">
      <alignment horizontal="center" vertical="center" wrapText="1"/>
      <protection/>
    </xf>
    <xf numFmtId="165" fontId="24" fillId="0" borderId="37" xfId="78" applyNumberFormat="1" applyFont="1" applyFill="1" applyBorder="1" applyAlignment="1">
      <alignment horizontal="center" vertical="center" wrapText="1"/>
      <protection/>
    </xf>
    <xf numFmtId="165" fontId="24" fillId="0" borderId="38" xfId="78" applyNumberFormat="1" applyFont="1" applyFill="1" applyBorder="1" applyAlignment="1">
      <alignment horizontal="center" vertical="center" wrapText="1"/>
      <protection/>
    </xf>
    <xf numFmtId="165" fontId="24" fillId="0" borderId="39" xfId="78" applyNumberFormat="1" applyFont="1" applyFill="1" applyBorder="1" applyAlignment="1">
      <alignment horizontal="center" vertical="center" wrapText="1"/>
      <protection/>
    </xf>
    <xf numFmtId="0" fontId="24" fillId="0" borderId="40" xfId="78" applyFont="1" applyFill="1" applyBorder="1" applyAlignment="1">
      <alignment horizontal="center" vertical="center" wrapText="1"/>
      <protection/>
    </xf>
    <xf numFmtId="165" fontId="24" fillId="0" borderId="41" xfId="78" applyNumberFormat="1" applyFont="1" applyFill="1" applyBorder="1" applyAlignment="1">
      <alignment horizontal="center" vertical="center" wrapText="1"/>
      <protection/>
    </xf>
    <xf numFmtId="165" fontId="24" fillId="0" borderId="42" xfId="78" applyNumberFormat="1" applyFont="1" applyFill="1" applyBorder="1" applyAlignment="1">
      <alignment horizontal="center" vertical="center" wrapText="1"/>
      <protection/>
    </xf>
    <xf numFmtId="165" fontId="24" fillId="0" borderId="43" xfId="78" applyNumberFormat="1" applyFont="1" applyFill="1" applyBorder="1" applyAlignment="1">
      <alignment horizontal="center" vertical="center" wrapText="1"/>
      <protection/>
    </xf>
    <xf numFmtId="165" fontId="24" fillId="0" borderId="44" xfId="78" applyNumberFormat="1" applyFont="1" applyFill="1" applyBorder="1" applyAlignment="1">
      <alignment horizontal="center" vertical="center" wrapText="1"/>
      <protection/>
    </xf>
    <xf numFmtId="165" fontId="24" fillId="0" borderId="45" xfId="78" applyNumberFormat="1" applyFont="1" applyFill="1" applyBorder="1" applyAlignment="1">
      <alignment horizontal="center" vertical="center" wrapText="1"/>
      <protection/>
    </xf>
    <xf numFmtId="1" fontId="35" fillId="0" borderId="19" xfId="78" applyNumberFormat="1" applyFont="1" applyFill="1" applyBorder="1" applyAlignment="1">
      <alignment horizontal="center" vertical="center" wrapText="1"/>
      <protection/>
    </xf>
    <xf numFmtId="1" fontId="35" fillId="0" borderId="14" xfId="78" applyNumberFormat="1" applyFont="1" applyFill="1" applyBorder="1" applyAlignment="1">
      <alignment horizontal="center" vertical="center" wrapText="1"/>
      <protection/>
    </xf>
    <xf numFmtId="2" fontId="56" fillId="48" borderId="23" xfId="78" applyNumberFormat="1" applyFont="1" applyFill="1" applyBorder="1" applyAlignment="1">
      <alignment horizontal="left" vertical="center"/>
      <protection/>
    </xf>
    <xf numFmtId="2" fontId="42" fillId="0" borderId="24" xfId="78" applyNumberFormat="1" applyFont="1" applyFill="1" applyBorder="1" applyAlignment="1">
      <alignment horizontal="left" vertical="center"/>
      <protection/>
    </xf>
    <xf numFmtId="2" fontId="42" fillId="0" borderId="46" xfId="78" applyNumberFormat="1" applyFont="1" applyFill="1" applyBorder="1" applyAlignment="1">
      <alignment horizontal="left" vertical="center"/>
      <protection/>
    </xf>
    <xf numFmtId="1" fontId="35" fillId="42" borderId="47" xfId="78" applyNumberFormat="1" applyFont="1" applyFill="1" applyBorder="1" applyAlignment="1">
      <alignment horizontal="center" vertical="center"/>
      <protection/>
    </xf>
    <xf numFmtId="1" fontId="35" fillId="42" borderId="48" xfId="78" applyNumberFormat="1" applyFont="1" applyFill="1" applyBorder="1" applyAlignment="1">
      <alignment horizontal="center" vertical="center"/>
      <protection/>
    </xf>
    <xf numFmtId="1" fontId="35" fillId="42" borderId="40" xfId="78" applyNumberFormat="1" applyFont="1" applyFill="1" applyBorder="1" applyAlignment="1">
      <alignment horizontal="center" vertical="center"/>
      <protection/>
    </xf>
    <xf numFmtId="166" fontId="24" fillId="0" borderId="35" xfId="78" applyNumberFormat="1" applyFont="1" applyFill="1" applyBorder="1" applyAlignment="1">
      <alignment horizontal="center" vertical="center" wrapText="1"/>
      <protection/>
    </xf>
    <xf numFmtId="165" fontId="24" fillId="0" borderId="29" xfId="78" applyNumberFormat="1" applyFont="1" applyFill="1" applyBorder="1" applyAlignment="1">
      <alignment horizontal="center" vertical="center" wrapText="1"/>
      <protection/>
    </xf>
    <xf numFmtId="165" fontId="24" fillId="0" borderId="33" xfId="78" applyNumberFormat="1" applyFont="1" applyFill="1" applyBorder="1" applyAlignment="1">
      <alignment horizontal="center" vertical="center" wrapText="1"/>
      <protection/>
    </xf>
    <xf numFmtId="1" fontId="24" fillId="0" borderId="26" xfId="78" applyNumberFormat="1" applyFont="1" applyFill="1" applyBorder="1" applyAlignment="1">
      <alignment horizontal="center" vertical="center" wrapText="1"/>
      <protection/>
    </xf>
    <xf numFmtId="166" fontId="35" fillId="0" borderId="49" xfId="78" applyNumberFormat="1" applyFont="1" applyFill="1" applyBorder="1" applyAlignment="1">
      <alignment horizontal="center" vertical="center" wrapText="1"/>
      <protection/>
    </xf>
    <xf numFmtId="166" fontId="35" fillId="0" borderId="31" xfId="78" applyNumberFormat="1" applyFont="1" applyFill="1" applyBorder="1" applyAlignment="1">
      <alignment horizontal="center" vertical="center" wrapText="1"/>
      <protection/>
    </xf>
    <xf numFmtId="166" fontId="35" fillId="0" borderId="13" xfId="78" applyNumberFormat="1" applyFont="1" applyFill="1" applyBorder="1" applyAlignment="1">
      <alignment horizontal="center" vertical="center" wrapText="1"/>
      <protection/>
    </xf>
    <xf numFmtId="164" fontId="28" fillId="48" borderId="25" xfId="78" applyNumberFormat="1" applyFont="1" applyFill="1" applyBorder="1">
      <alignment/>
      <protection/>
    </xf>
    <xf numFmtId="164" fontId="0" fillId="0" borderId="11" xfId="78" applyNumberFormat="1" applyFill="1" applyBorder="1">
      <alignment/>
      <protection/>
    </xf>
    <xf numFmtId="164" fontId="0" fillId="0" borderId="27" xfId="78" applyNumberFormat="1" applyFill="1" applyBorder="1">
      <alignment/>
      <protection/>
    </xf>
    <xf numFmtId="164" fontId="24" fillId="48" borderId="26" xfId="78" applyNumberFormat="1" applyFont="1" applyFill="1" applyBorder="1" applyAlignment="1">
      <alignment horizontal="center"/>
      <protection/>
    </xf>
    <xf numFmtId="166" fontId="24" fillId="48" borderId="35" xfId="78" applyNumberFormat="1" applyFont="1" applyFill="1" applyBorder="1" applyAlignment="1">
      <alignment horizontal="center" vertical="center"/>
      <protection/>
    </xf>
    <xf numFmtId="1" fontId="24" fillId="0" borderId="19" xfId="78" applyNumberFormat="1" applyFont="1" applyFill="1" applyBorder="1" applyAlignment="1">
      <alignment horizontal="center" vertical="center"/>
      <protection/>
    </xf>
    <xf numFmtId="1" fontId="24" fillId="0" borderId="12" xfId="78" applyNumberFormat="1" applyFont="1" applyFill="1" applyBorder="1" applyAlignment="1">
      <alignment horizontal="center" vertical="center"/>
      <protection/>
    </xf>
    <xf numFmtId="164" fontId="24" fillId="0" borderId="19" xfId="78" applyNumberFormat="1" applyFont="1" applyFill="1" applyBorder="1" applyAlignment="1">
      <alignment horizontal="center"/>
      <protection/>
    </xf>
    <xf numFmtId="166" fontId="24" fillId="0" borderId="35" xfId="78" applyNumberFormat="1" applyFont="1" applyFill="1" applyBorder="1" applyAlignment="1">
      <alignment horizontal="center" vertical="center"/>
      <protection/>
    </xf>
    <xf numFmtId="1" fontId="24" fillId="0" borderId="14" xfId="78" applyNumberFormat="1" applyFont="1" applyFill="1" applyBorder="1" applyAlignment="1">
      <alignment horizontal="center" vertical="center"/>
      <protection/>
    </xf>
    <xf numFmtId="1" fontId="24" fillId="0" borderId="35" xfId="78" applyNumberFormat="1" applyFont="1" applyFill="1" applyBorder="1" applyAlignment="1">
      <alignment horizontal="center" vertical="center"/>
      <protection/>
    </xf>
    <xf numFmtId="0" fontId="51" fillId="0" borderId="10" xfId="79" applyFont="1" applyBorder="1" applyAlignment="1">
      <alignment horizontal="center" vertical="center"/>
      <protection/>
    </xf>
    <xf numFmtId="0" fontId="50" fillId="0" borderId="10" xfId="79" applyFont="1" applyBorder="1" applyAlignment="1">
      <alignment vertical="center" wrapText="1"/>
      <protection/>
    </xf>
    <xf numFmtId="165" fontId="50" fillId="0" borderId="10" xfId="79" applyNumberFormat="1" applyFont="1" applyBorder="1" applyAlignment="1">
      <alignment horizontal="center" vertical="center"/>
      <protection/>
    </xf>
    <xf numFmtId="0" fontId="50" fillId="0" borderId="10" xfId="79" applyFont="1" applyBorder="1" applyAlignment="1">
      <alignment horizontal="center" vertical="center"/>
      <protection/>
    </xf>
    <xf numFmtId="0" fontId="53" fillId="0" borderId="10" xfId="79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5" fillId="0" borderId="10" xfId="79" applyNumberFormat="1" applyFont="1" applyBorder="1" applyAlignment="1">
      <alignment horizontal="center" vertical="center" wrapText="1"/>
      <protection/>
    </xf>
    <xf numFmtId="165" fontId="50" fillId="0" borderId="10" xfId="79" applyNumberFormat="1" applyFont="1" applyBorder="1" applyAlignment="1">
      <alignment horizontal="center" vertical="center" wrapText="1"/>
      <protection/>
    </xf>
    <xf numFmtId="165" fontId="25" fillId="0" borderId="10" xfId="79" applyNumberFormat="1" applyFont="1" applyBorder="1" applyAlignment="1">
      <alignment horizontal="center" vertical="center" wrapText="1"/>
      <protection/>
    </xf>
    <xf numFmtId="164" fontId="19" fillId="46" borderId="10" xfId="72" applyNumberFormat="1" applyFont="1" applyFill="1" applyBorder="1" applyAlignment="1">
      <alignment horizontal="center" vertical="center" wrapText="1"/>
      <protection/>
    </xf>
    <xf numFmtId="166" fontId="19" fillId="46" borderId="10" xfId="72" applyNumberFormat="1" applyFont="1" applyFill="1" applyBorder="1" applyAlignment="1">
      <alignment horizontal="center" vertical="center" wrapText="1"/>
      <protection/>
    </xf>
    <xf numFmtId="164" fontId="19" fillId="0" borderId="10" xfId="72" applyNumberFormat="1" applyFont="1" applyFill="1" applyBorder="1" applyAlignment="1">
      <alignment horizontal="center" vertical="center" wrapText="1"/>
      <protection/>
    </xf>
    <xf numFmtId="1" fontId="19" fillId="0" borderId="10" xfId="72" applyNumberFormat="1" applyFont="1" applyFill="1" applyBorder="1" applyAlignment="1">
      <alignment horizontal="center" vertical="center" wrapText="1"/>
      <protection/>
    </xf>
    <xf numFmtId="1" fontId="19" fillId="46" borderId="10" xfId="72" applyNumberFormat="1" applyFont="1" applyFill="1" applyBorder="1" applyAlignment="1">
      <alignment horizontal="center" vertical="center" wrapText="1"/>
      <protection/>
    </xf>
    <xf numFmtId="3" fontId="19" fillId="0" borderId="10" xfId="72" applyNumberFormat="1" applyFont="1" applyFill="1" applyBorder="1" applyAlignment="1">
      <alignment horizontal="center" vertical="center" wrapText="1"/>
      <protection/>
    </xf>
    <xf numFmtId="2" fontId="19" fillId="0" borderId="10" xfId="72" applyNumberFormat="1" applyFont="1" applyFill="1" applyBorder="1" applyAlignment="1">
      <alignment horizontal="center" vertical="center" wrapText="1"/>
      <protection/>
    </xf>
    <xf numFmtId="1" fontId="66" fillId="0" borderId="10" xfId="0" applyNumberFormat="1" applyFont="1" applyFill="1" applyBorder="1" applyAlignment="1">
      <alignment horizontal="center" vertical="center"/>
    </xf>
    <xf numFmtId="166" fontId="19" fillId="0" borderId="10" xfId="72" applyNumberFormat="1" applyFont="1" applyFill="1" applyBorder="1" applyAlignment="1">
      <alignment horizontal="center" vertical="center" wrapText="1"/>
      <protection/>
    </xf>
    <xf numFmtId="165" fontId="19" fillId="0" borderId="10" xfId="72" applyNumberFormat="1" applyFont="1" applyFill="1" applyBorder="1" applyAlignment="1">
      <alignment horizontal="center" vertical="center" wrapText="1"/>
      <protection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5" fontId="9" fillId="53" borderId="10" xfId="0" applyNumberFormat="1" applyFont="1" applyFill="1" applyBorder="1" applyAlignment="1">
      <alignment horizontal="center" vertical="center"/>
    </xf>
    <xf numFmtId="2" fontId="9" fillId="53" borderId="10" xfId="0" applyNumberFormat="1" applyFont="1" applyFill="1" applyBorder="1" applyAlignment="1">
      <alignment horizontal="center" vertical="center" wrapText="1"/>
    </xf>
    <xf numFmtId="164" fontId="9" fillId="44" borderId="10" xfId="0" applyNumberFormat="1" applyFont="1" applyFill="1" applyBorder="1" applyAlignment="1">
      <alignment horizontal="center" vertical="center" wrapText="1"/>
    </xf>
    <xf numFmtId="2" fontId="12" fillId="39" borderId="10" xfId="0" applyNumberFormat="1" applyFont="1" applyFill="1" applyBorder="1" applyAlignment="1">
      <alignment horizontal="center" vertical="center" wrapText="1"/>
    </xf>
    <xf numFmtId="165" fontId="9" fillId="47" borderId="10" xfId="0" applyNumberFormat="1" applyFont="1" applyFill="1" applyBorder="1" applyAlignment="1">
      <alignment horizontal="center" vertical="center" wrapText="1"/>
    </xf>
    <xf numFmtId="165" fontId="12" fillId="39" borderId="10" xfId="0" applyNumberFormat="1" applyFont="1" applyFill="1" applyBorder="1" applyAlignment="1">
      <alignment horizontal="center" vertical="center" wrapText="1"/>
    </xf>
    <xf numFmtId="2" fontId="20" fillId="7" borderId="10" xfId="0" applyNumberFormat="1" applyFont="1" applyFill="1" applyBorder="1" applyAlignment="1">
      <alignment horizontal="center" vertical="center" wrapText="1"/>
    </xf>
    <xf numFmtId="165" fontId="35" fillId="7" borderId="10" xfId="0" applyNumberFormat="1" applyFont="1" applyFill="1" applyBorder="1" applyAlignment="1">
      <alignment horizontal="center" vertical="center" wrapText="1"/>
    </xf>
    <xf numFmtId="0" fontId="117" fillId="0" borderId="0" xfId="0" applyFont="1" applyAlignment="1">
      <alignment/>
    </xf>
    <xf numFmtId="164" fontId="117" fillId="0" borderId="0" xfId="0" applyNumberFormat="1" applyFont="1" applyAlignment="1">
      <alignment/>
    </xf>
    <xf numFmtId="0" fontId="38" fillId="42" borderId="10" xfId="0" applyFont="1" applyFill="1" applyBorder="1" applyAlignment="1">
      <alignment horizontal="center" vertical="center"/>
    </xf>
    <xf numFmtId="0" fontId="38" fillId="42" borderId="10" xfId="0" applyFont="1" applyFill="1" applyBorder="1" applyAlignment="1">
      <alignment horizontal="center" vertical="center" wrapText="1"/>
    </xf>
    <xf numFmtId="0" fontId="38" fillId="42" borderId="50" xfId="0" applyFont="1" applyFill="1" applyBorder="1" applyAlignment="1">
      <alignment horizontal="center" vertical="center"/>
    </xf>
    <xf numFmtId="0" fontId="38" fillId="42" borderId="19" xfId="0" applyFont="1" applyFill="1" applyBorder="1" applyAlignment="1">
      <alignment horizontal="center" vertical="center" wrapText="1"/>
    </xf>
    <xf numFmtId="0" fontId="35" fillId="42" borderId="51" xfId="0" applyFont="1" applyFill="1" applyBorder="1" applyAlignment="1">
      <alignment horizontal="center" vertical="center" wrapText="1"/>
    </xf>
    <xf numFmtId="0" fontId="35" fillId="42" borderId="19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center" wrapText="1"/>
    </xf>
    <xf numFmtId="0" fontId="35" fillId="42" borderId="10" xfId="0" applyFont="1" applyFill="1" applyBorder="1" applyAlignment="1">
      <alignment horizontal="center" vertical="center"/>
    </xf>
    <xf numFmtId="2" fontId="35" fillId="0" borderId="11" xfId="78" applyNumberFormat="1" applyFont="1" applyFill="1" applyBorder="1" applyAlignment="1">
      <alignment horizontal="center" vertical="center" wrapText="1"/>
      <protection/>
    </xf>
    <xf numFmtId="2" fontId="35" fillId="0" borderId="32" xfId="78" applyNumberFormat="1" applyFont="1" applyFill="1" applyBorder="1" applyAlignment="1">
      <alignment horizontal="center" vertical="center" wrapText="1"/>
      <protection/>
    </xf>
    <xf numFmtId="0" fontId="20" fillId="0" borderId="0" xfId="78" applyFont="1" applyAlignment="1">
      <alignment/>
      <protection/>
    </xf>
    <xf numFmtId="0" fontId="38" fillId="42" borderId="52" xfId="0" applyFont="1" applyFill="1" applyBorder="1" applyAlignment="1">
      <alignment horizontal="center" vertical="center"/>
    </xf>
    <xf numFmtId="2" fontId="35" fillId="42" borderId="15" xfId="0" applyNumberFormat="1" applyFont="1" applyFill="1" applyBorder="1" applyAlignment="1">
      <alignment horizontal="center" vertical="center"/>
    </xf>
    <xf numFmtId="2" fontId="20" fillId="42" borderId="15" xfId="0" applyNumberFormat="1" applyFont="1" applyFill="1" applyBorder="1" applyAlignment="1">
      <alignment horizontal="center" vertical="center"/>
    </xf>
    <xf numFmtId="2" fontId="7" fillId="42" borderId="15" xfId="0" applyNumberFormat="1" applyFont="1" applyFill="1" applyBorder="1" applyAlignment="1">
      <alignment horizontal="center" vertical="center"/>
    </xf>
    <xf numFmtId="0" fontId="35" fillId="42" borderId="17" xfId="0" applyFont="1" applyFill="1" applyBorder="1" applyAlignment="1">
      <alignment horizontal="center" vertical="center" wrapText="1"/>
    </xf>
    <xf numFmtId="2" fontId="20" fillId="42" borderId="17" xfId="0" applyNumberFormat="1" applyFont="1" applyFill="1" applyBorder="1" applyAlignment="1">
      <alignment horizontal="center" vertical="center"/>
    </xf>
    <xf numFmtId="164" fontId="20" fillId="42" borderId="17" xfId="0" applyNumberFormat="1" applyFont="1" applyFill="1" applyBorder="1" applyAlignment="1">
      <alignment horizontal="center" vertical="center" wrapText="1"/>
    </xf>
    <xf numFmtId="2" fontId="20" fillId="42" borderId="17" xfId="0" applyNumberFormat="1" applyFont="1" applyFill="1" applyBorder="1" applyAlignment="1">
      <alignment horizontal="center" vertical="center" wrapText="1"/>
    </xf>
    <xf numFmtId="2" fontId="35" fillId="42" borderId="17" xfId="0" applyNumberFormat="1" applyFont="1" applyFill="1" applyBorder="1" applyAlignment="1">
      <alignment horizontal="center" vertical="center" wrapText="1"/>
    </xf>
    <xf numFmtId="1" fontId="35" fillId="42" borderId="17" xfId="0" applyNumberFormat="1" applyFont="1" applyFill="1" applyBorder="1" applyAlignment="1">
      <alignment horizontal="center" vertical="center"/>
    </xf>
    <xf numFmtId="164" fontId="20" fillId="42" borderId="17" xfId="0" applyNumberFormat="1" applyFont="1" applyFill="1" applyBorder="1" applyAlignment="1">
      <alignment horizontal="center" vertical="center" wrapText="1" shrinkToFit="1"/>
    </xf>
    <xf numFmtId="164" fontId="20" fillId="42" borderId="17" xfId="0" applyNumberFormat="1" applyFont="1" applyFill="1" applyBorder="1" applyAlignment="1">
      <alignment horizontal="center" vertical="center"/>
    </xf>
    <xf numFmtId="2" fontId="35" fillId="42" borderId="17" xfId="0" applyNumberFormat="1" applyFont="1" applyFill="1" applyBorder="1" applyAlignment="1">
      <alignment horizontal="center" vertical="center"/>
    </xf>
    <xf numFmtId="165" fontId="20" fillId="42" borderId="17" xfId="0" applyNumberFormat="1" applyFont="1" applyFill="1" applyBorder="1" applyAlignment="1">
      <alignment horizontal="center" vertical="center"/>
    </xf>
    <xf numFmtId="1" fontId="7" fillId="42" borderId="35" xfId="0" applyNumberFormat="1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vertical="center"/>
    </xf>
    <xf numFmtId="0" fontId="7" fillId="42" borderId="53" xfId="0" applyFont="1" applyFill="1" applyBorder="1" applyAlignment="1">
      <alignment vertical="center"/>
    </xf>
    <xf numFmtId="0" fontId="0" fillId="42" borderId="53" xfId="0" applyFill="1" applyBorder="1" applyAlignment="1">
      <alignment/>
    </xf>
    <xf numFmtId="164" fontId="24" fillId="42" borderId="12" xfId="0" applyNumberFormat="1" applyFont="1" applyFill="1" applyBorder="1" applyAlignment="1">
      <alignment horizontal="center" vertical="center"/>
    </xf>
    <xf numFmtId="0" fontId="24" fillId="42" borderId="12" xfId="0" applyFont="1" applyFill="1" applyBorder="1" applyAlignment="1">
      <alignment horizontal="center" vertical="center"/>
    </xf>
    <xf numFmtId="2" fontId="24" fillId="42" borderId="12" xfId="0" applyNumberFormat="1" applyFont="1" applyFill="1" applyBorder="1" applyAlignment="1">
      <alignment horizontal="center" vertical="center"/>
    </xf>
    <xf numFmtId="165" fontId="35" fillId="42" borderId="12" xfId="0" applyNumberFormat="1" applyFont="1" applyFill="1" applyBorder="1" applyAlignment="1">
      <alignment horizontal="center" vertical="center"/>
    </xf>
    <xf numFmtId="0" fontId="28" fillId="42" borderId="12" xfId="0" applyFont="1" applyFill="1" applyBorder="1" applyAlignment="1">
      <alignment horizontal="center" vertical="center"/>
    </xf>
    <xf numFmtId="0" fontId="0" fillId="42" borderId="16" xfId="0" applyFill="1" applyBorder="1" applyAlignment="1">
      <alignment/>
    </xf>
    <xf numFmtId="0" fontId="35" fillId="42" borderId="0" xfId="0" applyFont="1" applyFill="1" applyBorder="1" applyAlignment="1">
      <alignment/>
    </xf>
    <xf numFmtId="0" fontId="0" fillId="42" borderId="0" xfId="0" applyFill="1" applyBorder="1" applyAlignment="1">
      <alignment/>
    </xf>
    <xf numFmtId="0" fontId="21" fillId="42" borderId="16" xfId="0" applyFont="1" applyFill="1" applyBorder="1" applyAlignment="1">
      <alignment/>
    </xf>
    <xf numFmtId="2" fontId="4" fillId="42" borderId="0" xfId="0" applyNumberFormat="1" applyFont="1" applyFill="1" applyBorder="1" applyAlignment="1">
      <alignment/>
    </xf>
    <xf numFmtId="164" fontId="4" fillId="42" borderId="0" xfId="0" applyNumberFormat="1" applyFont="1" applyFill="1" applyBorder="1" applyAlignment="1">
      <alignment/>
    </xf>
    <xf numFmtId="165" fontId="4" fillId="42" borderId="0" xfId="0" applyNumberFormat="1" applyFont="1" applyFill="1" applyBorder="1" applyAlignment="1">
      <alignment/>
    </xf>
    <xf numFmtId="0" fontId="44" fillId="42" borderId="16" xfId="0" applyFont="1" applyFill="1" applyBorder="1" applyAlignment="1">
      <alignment/>
    </xf>
    <xf numFmtId="0" fontId="20" fillId="55" borderId="38" xfId="0" applyFont="1" applyFill="1" applyBorder="1" applyAlignment="1">
      <alignment horizontal="center" vertical="center" wrapText="1"/>
    </xf>
    <xf numFmtId="2" fontId="20" fillId="55" borderId="36" xfId="0" applyNumberFormat="1" applyFont="1" applyFill="1" applyBorder="1" applyAlignment="1">
      <alignment horizontal="center" vertical="center"/>
    </xf>
    <xf numFmtId="2" fontId="20" fillId="55" borderId="36" xfId="0" applyNumberFormat="1" applyFont="1" applyFill="1" applyBorder="1" applyAlignment="1">
      <alignment horizontal="center" vertical="center" wrapText="1"/>
    </xf>
    <xf numFmtId="1" fontId="20" fillId="55" borderId="36" xfId="0" applyNumberFormat="1" applyFont="1" applyFill="1" applyBorder="1" applyAlignment="1">
      <alignment horizontal="center" vertical="center"/>
    </xf>
    <xf numFmtId="2" fontId="20" fillId="55" borderId="36" xfId="0" applyNumberFormat="1" applyFont="1" applyFill="1" applyBorder="1" applyAlignment="1">
      <alignment horizontal="center" vertical="center" wrapText="1" shrinkToFit="1"/>
    </xf>
    <xf numFmtId="165" fontId="20" fillId="55" borderId="36" xfId="0" applyNumberFormat="1" applyFont="1" applyFill="1" applyBorder="1" applyAlignment="1">
      <alignment horizontal="center" vertical="center"/>
    </xf>
    <xf numFmtId="1" fontId="20" fillId="55" borderId="39" xfId="0" applyNumberFormat="1" applyFont="1" applyFill="1" applyBorder="1" applyAlignment="1">
      <alignment horizontal="center" vertical="center"/>
    </xf>
    <xf numFmtId="164" fontId="20" fillId="55" borderId="36" xfId="0" applyNumberFormat="1" applyFont="1" applyFill="1" applyBorder="1" applyAlignment="1">
      <alignment horizontal="center" vertical="center"/>
    </xf>
    <xf numFmtId="1" fontId="35" fillId="42" borderId="54" xfId="0" applyNumberFormat="1" applyFont="1" applyFill="1" applyBorder="1" applyAlignment="1">
      <alignment horizontal="center" vertical="center"/>
    </xf>
    <xf numFmtId="1" fontId="20" fillId="56" borderId="54" xfId="74" applyNumberFormat="1" applyFont="1" applyFill="1" applyBorder="1" applyAlignment="1">
      <alignment horizontal="center" vertical="center"/>
      <protection/>
    </xf>
    <xf numFmtId="0" fontId="35" fillId="42" borderId="26" xfId="0" applyFont="1" applyFill="1" applyBorder="1" applyAlignment="1">
      <alignment horizontal="center" vertical="center" wrapText="1"/>
    </xf>
    <xf numFmtId="164" fontId="35" fillId="42" borderId="17" xfId="0" applyNumberFormat="1" applyFont="1" applyFill="1" applyBorder="1" applyAlignment="1">
      <alignment horizontal="center" vertical="center" wrapText="1"/>
    </xf>
    <xf numFmtId="164" fontId="35" fillId="42" borderId="17" xfId="0" applyNumberFormat="1" applyFont="1" applyFill="1" applyBorder="1" applyAlignment="1">
      <alignment horizontal="center" vertical="center" wrapText="1" shrinkToFit="1"/>
    </xf>
    <xf numFmtId="2" fontId="35" fillId="42" borderId="12" xfId="0" applyNumberFormat="1" applyFont="1" applyFill="1" applyBorder="1" applyAlignment="1">
      <alignment horizontal="center" vertical="center"/>
    </xf>
    <xf numFmtId="0" fontId="20" fillId="56" borderId="38" xfId="0" applyFont="1" applyFill="1" applyBorder="1" applyAlignment="1">
      <alignment horizontal="center" vertical="center" wrapText="1"/>
    </xf>
    <xf numFmtId="0" fontId="20" fillId="56" borderId="36" xfId="0" applyFont="1" applyFill="1" applyBorder="1" applyAlignment="1">
      <alignment horizontal="center" vertical="center" wrapText="1"/>
    </xf>
    <xf numFmtId="2" fontId="20" fillId="56" borderId="36" xfId="0" applyNumberFormat="1" applyFont="1" applyFill="1" applyBorder="1" applyAlignment="1">
      <alignment horizontal="center" vertical="center" wrapText="1"/>
    </xf>
    <xf numFmtId="2" fontId="20" fillId="56" borderId="36" xfId="0" applyNumberFormat="1" applyFont="1" applyFill="1" applyBorder="1" applyAlignment="1">
      <alignment horizontal="center" vertical="center"/>
    </xf>
    <xf numFmtId="2" fontId="20" fillId="56" borderId="36" xfId="0" applyNumberFormat="1" applyFont="1" applyFill="1" applyBorder="1" applyAlignment="1">
      <alignment horizontal="center" vertical="center" wrapText="1" shrinkToFit="1"/>
    </xf>
    <xf numFmtId="164" fontId="20" fillId="56" borderId="36" xfId="0" applyNumberFormat="1" applyFont="1" applyFill="1" applyBorder="1" applyAlignment="1">
      <alignment horizontal="center" vertical="center"/>
    </xf>
    <xf numFmtId="165" fontId="20" fillId="56" borderId="36" xfId="0" applyNumberFormat="1" applyFont="1" applyFill="1" applyBorder="1" applyAlignment="1">
      <alignment horizontal="center" vertical="center"/>
    </xf>
    <xf numFmtId="1" fontId="20" fillId="56" borderId="39" xfId="0" applyNumberFormat="1" applyFont="1" applyFill="1" applyBorder="1" applyAlignment="1">
      <alignment horizontal="center" vertical="center"/>
    </xf>
    <xf numFmtId="2" fontId="20" fillId="56" borderId="36" xfId="74" applyNumberFormat="1" applyFont="1" applyFill="1" applyBorder="1" applyAlignment="1">
      <alignment horizontal="center" vertical="center"/>
      <protection/>
    </xf>
    <xf numFmtId="165" fontId="20" fillId="56" borderId="36" xfId="74" applyNumberFormat="1" applyFont="1" applyFill="1" applyBorder="1" applyAlignment="1">
      <alignment horizontal="center" vertical="center"/>
      <protection/>
    </xf>
    <xf numFmtId="164" fontId="20" fillId="56" borderId="36" xfId="74" applyNumberFormat="1" applyFont="1" applyFill="1" applyBorder="1" applyAlignment="1">
      <alignment horizontal="center" vertical="center"/>
      <protection/>
    </xf>
    <xf numFmtId="2" fontId="20" fillId="56" borderId="39" xfId="74" applyNumberFormat="1" applyFont="1" applyFill="1" applyBorder="1" applyAlignment="1">
      <alignment horizontal="center" vertical="center"/>
      <protection/>
    </xf>
    <xf numFmtId="1" fontId="20" fillId="42" borderId="55" xfId="0" applyNumberFormat="1" applyFont="1" applyFill="1" applyBorder="1" applyAlignment="1">
      <alignment horizontal="center" vertical="center"/>
    </xf>
    <xf numFmtId="2" fontId="20" fillId="42" borderId="50" xfId="0" applyNumberFormat="1" applyFont="1" applyFill="1" applyBorder="1" applyAlignment="1">
      <alignment horizontal="center" vertical="center"/>
    </xf>
    <xf numFmtId="2" fontId="35" fillId="42" borderId="50" xfId="0" applyNumberFormat="1" applyFont="1" applyFill="1" applyBorder="1" applyAlignment="1">
      <alignment horizontal="center" vertical="center" wrapText="1"/>
    </xf>
    <xf numFmtId="2" fontId="20" fillId="42" borderId="50" xfId="0" applyNumberFormat="1" applyFont="1" applyFill="1" applyBorder="1" applyAlignment="1">
      <alignment horizontal="center" vertical="center" wrapText="1"/>
    </xf>
    <xf numFmtId="1" fontId="35" fillId="42" borderId="50" xfId="0" applyNumberFormat="1" applyFont="1" applyFill="1" applyBorder="1" applyAlignment="1">
      <alignment horizontal="center" vertical="center"/>
    </xf>
    <xf numFmtId="0" fontId="20" fillId="42" borderId="50" xfId="0" applyNumberFormat="1" applyFont="1" applyFill="1" applyBorder="1" applyAlignment="1">
      <alignment horizontal="center" vertical="center" wrapText="1"/>
    </xf>
    <xf numFmtId="2" fontId="35" fillId="42" borderId="50" xfId="0" applyNumberFormat="1" applyFont="1" applyFill="1" applyBorder="1" applyAlignment="1">
      <alignment horizontal="center" vertical="center"/>
    </xf>
    <xf numFmtId="165" fontId="38" fillId="42" borderId="50" xfId="0" applyNumberFormat="1" applyFont="1" applyFill="1" applyBorder="1" applyAlignment="1">
      <alignment horizontal="center" vertical="center" wrapText="1"/>
    </xf>
    <xf numFmtId="165" fontId="20" fillId="42" borderId="50" xfId="0" applyNumberFormat="1" applyFont="1" applyFill="1" applyBorder="1" applyAlignment="1">
      <alignment horizontal="center" vertical="center" wrapText="1"/>
    </xf>
    <xf numFmtId="1" fontId="35" fillId="42" borderId="56" xfId="0" applyNumberFormat="1" applyFont="1" applyFill="1" applyBorder="1" applyAlignment="1">
      <alignment horizontal="center" vertical="center"/>
    </xf>
    <xf numFmtId="164" fontId="35" fillId="42" borderId="50" xfId="0" applyNumberFormat="1" applyFont="1" applyFill="1" applyBorder="1" applyAlignment="1">
      <alignment horizontal="center" vertical="center" wrapText="1"/>
    </xf>
    <xf numFmtId="2" fontId="35" fillId="42" borderId="56" xfId="0" applyNumberFormat="1" applyFont="1" applyFill="1" applyBorder="1" applyAlignment="1">
      <alignment horizontal="center" vertical="center"/>
    </xf>
    <xf numFmtId="2" fontId="20" fillId="55" borderId="39" xfId="0" applyNumberFormat="1" applyFont="1" applyFill="1" applyBorder="1" applyAlignment="1">
      <alignment horizontal="center" vertical="center"/>
    </xf>
    <xf numFmtId="0" fontId="20" fillId="46" borderId="19" xfId="0" applyFont="1" applyFill="1" applyBorder="1" applyAlignment="1">
      <alignment horizontal="center"/>
    </xf>
    <xf numFmtId="164" fontId="20" fillId="0" borderId="36" xfId="0" applyNumberFormat="1" applyFont="1" applyBorder="1" applyAlignment="1">
      <alignment horizontal="left" vertical="center" wrapText="1"/>
    </xf>
    <xf numFmtId="164" fontId="20" fillId="0" borderId="36" xfId="0" applyNumberFormat="1" applyFont="1" applyBorder="1" applyAlignment="1">
      <alignment horizontal="center" vertical="center" wrapText="1"/>
    </xf>
    <xf numFmtId="1" fontId="20" fillId="0" borderId="36" xfId="0" applyNumberFormat="1" applyFont="1" applyBorder="1" applyAlignment="1">
      <alignment horizontal="center" vertical="center" wrapText="1"/>
    </xf>
    <xf numFmtId="2" fontId="20" fillId="0" borderId="36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34" fillId="42" borderId="10" xfId="0" applyFont="1" applyFill="1" applyBorder="1" applyAlignment="1">
      <alignment horizontal="center" vertical="center" wrapText="1"/>
    </xf>
    <xf numFmtId="0" fontId="34" fillId="42" borderId="10" xfId="0" applyFont="1" applyFill="1" applyBorder="1" applyAlignment="1">
      <alignment horizontal="center" wrapText="1"/>
    </xf>
    <xf numFmtId="2" fontId="20" fillId="42" borderId="10" xfId="0" applyNumberFormat="1" applyFont="1" applyFill="1" applyBorder="1" applyAlignment="1">
      <alignment horizontal="center" vertical="center" wrapText="1" shrinkToFit="1"/>
    </xf>
    <xf numFmtId="165" fontId="20" fillId="42" borderId="10" xfId="74" applyNumberFormat="1" applyFont="1" applyFill="1" applyBorder="1" applyAlignment="1">
      <alignment horizontal="center" vertical="center"/>
      <protection/>
    </xf>
    <xf numFmtId="164" fontId="20" fillId="42" borderId="10" xfId="74" applyNumberFormat="1" applyFont="1" applyFill="1" applyBorder="1" applyAlignment="1">
      <alignment horizontal="center" vertical="center"/>
      <protection/>
    </xf>
    <xf numFmtId="1" fontId="20" fillId="42" borderId="10" xfId="74" applyNumberFormat="1" applyFont="1" applyFill="1" applyBorder="1" applyAlignment="1">
      <alignment horizontal="center" vertical="center"/>
      <protection/>
    </xf>
    <xf numFmtId="164" fontId="20" fillId="42" borderId="10" xfId="0" applyNumberFormat="1" applyFont="1" applyFill="1" applyBorder="1" applyAlignment="1">
      <alignment horizontal="center" vertical="center"/>
    </xf>
    <xf numFmtId="165" fontId="113" fillId="42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vertical="center"/>
    </xf>
    <xf numFmtId="0" fontId="38" fillId="42" borderId="10" xfId="0" applyFont="1" applyFill="1" applyBorder="1" applyAlignment="1">
      <alignment vertical="center"/>
    </xf>
    <xf numFmtId="0" fontId="38" fillId="42" borderId="10" xfId="0" applyFont="1" applyFill="1" applyBorder="1" applyAlignment="1">
      <alignment vertical="center" wrapText="1"/>
    </xf>
    <xf numFmtId="164" fontId="24" fillId="42" borderId="10" xfId="0" applyNumberFormat="1" applyFont="1" applyFill="1" applyBorder="1" applyAlignment="1">
      <alignment horizontal="center" vertical="center" wrapText="1" shrinkToFit="1"/>
    </xf>
    <xf numFmtId="2" fontId="114" fillId="42" borderId="10" xfId="0" applyNumberFormat="1" applyFont="1" applyFill="1" applyBorder="1" applyAlignment="1">
      <alignment horizontal="center" vertical="center" wrapText="1"/>
    </xf>
    <xf numFmtId="164" fontId="38" fillId="42" borderId="10" xfId="0" applyNumberFormat="1" applyFont="1" applyFill="1" applyBorder="1" applyAlignment="1">
      <alignment horizontal="center"/>
    </xf>
    <xf numFmtId="164" fontId="38" fillId="42" borderId="10" xfId="0" applyNumberFormat="1" applyFont="1" applyFill="1" applyBorder="1" applyAlignment="1">
      <alignment horizontal="center" vertical="center" wrapText="1"/>
    </xf>
    <xf numFmtId="164" fontId="38" fillId="42" borderId="10" xfId="0" applyNumberFormat="1" applyFont="1" applyFill="1" applyBorder="1" applyAlignment="1">
      <alignment horizontal="center" vertical="center"/>
    </xf>
    <xf numFmtId="168" fontId="38" fillId="42" borderId="10" xfId="98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/>
    </xf>
    <xf numFmtId="164" fontId="7" fillId="42" borderId="10" xfId="0" applyNumberFormat="1" applyFont="1" applyFill="1" applyBorder="1" applyAlignment="1">
      <alignment horizontal="center"/>
    </xf>
    <xf numFmtId="164" fontId="7" fillId="42" borderId="10" xfId="0" applyNumberFormat="1" applyFont="1" applyFill="1" applyBorder="1" applyAlignment="1">
      <alignment/>
    </xf>
    <xf numFmtId="0" fontId="0" fillId="42" borderId="10" xfId="0" applyFill="1" applyBorder="1" applyAlignment="1">
      <alignment/>
    </xf>
    <xf numFmtId="0" fontId="44" fillId="42" borderId="10" xfId="0" applyFont="1" applyFill="1" applyBorder="1" applyAlignment="1">
      <alignment horizontal="left" vertical="center" wrapText="1"/>
    </xf>
    <xf numFmtId="0" fontId="44" fillId="42" borderId="10" xfId="0" applyFont="1" applyFill="1" applyBorder="1" applyAlignment="1">
      <alignment horizontal="center" vertical="center" wrapText="1"/>
    </xf>
    <xf numFmtId="2" fontId="7" fillId="42" borderId="10" xfId="0" applyNumberFormat="1" applyFont="1" applyFill="1" applyBorder="1" applyAlignment="1">
      <alignment horizontal="center"/>
    </xf>
    <xf numFmtId="0" fontId="35" fillId="42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21" fillId="42" borderId="10" xfId="0" applyFont="1" applyFill="1" applyBorder="1" applyAlignment="1">
      <alignment/>
    </xf>
    <xf numFmtId="2" fontId="4" fillId="42" borderId="10" xfId="0" applyNumberFormat="1" applyFont="1" applyFill="1" applyBorder="1" applyAlignment="1">
      <alignment/>
    </xf>
    <xf numFmtId="0" fontId="4" fillId="42" borderId="10" xfId="0" applyFont="1" applyFill="1" applyBorder="1" applyAlignment="1">
      <alignment/>
    </xf>
    <xf numFmtId="164" fontId="4" fillId="42" borderId="10" xfId="0" applyNumberFormat="1" applyFont="1" applyFill="1" applyBorder="1" applyAlignment="1">
      <alignment/>
    </xf>
    <xf numFmtId="165" fontId="4" fillId="42" borderId="10" xfId="0" applyNumberFormat="1" applyFont="1" applyFill="1" applyBorder="1" applyAlignment="1">
      <alignment/>
    </xf>
    <xf numFmtId="2" fontId="21" fillId="42" borderId="10" xfId="0" applyNumberFormat="1" applyFont="1" applyFill="1" applyBorder="1" applyAlignment="1">
      <alignment/>
    </xf>
    <xf numFmtId="0" fontId="44" fillId="42" borderId="10" xfId="0" applyFont="1" applyFill="1" applyBorder="1" applyAlignment="1">
      <alignment/>
    </xf>
    <xf numFmtId="2" fontId="44" fillId="42" borderId="10" xfId="0" applyNumberFormat="1" applyFont="1" applyFill="1" applyBorder="1" applyAlignment="1">
      <alignment/>
    </xf>
    <xf numFmtId="0" fontId="118" fillId="42" borderId="0" xfId="0" applyFont="1" applyFill="1" applyBorder="1" applyAlignment="1">
      <alignment/>
    </xf>
    <xf numFmtId="2" fontId="34" fillId="42" borderId="10" xfId="0" applyNumberFormat="1" applyFont="1" applyFill="1" applyBorder="1" applyAlignment="1">
      <alignment horizontal="center" wrapText="1"/>
    </xf>
    <xf numFmtId="14" fontId="35" fillId="0" borderId="0" xfId="78" applyNumberFormat="1" applyFont="1" applyAlignment="1">
      <alignment horizontal="center"/>
      <protection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1" fillId="0" borderId="0" xfId="0" applyFont="1" applyAlignment="1">
      <alignment vertical="center"/>
    </xf>
    <xf numFmtId="165" fontId="70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center" vertical="center"/>
    </xf>
    <xf numFmtId="2" fontId="65" fillId="0" borderId="10" xfId="0" applyNumberFormat="1" applyFont="1" applyBorder="1" applyAlignment="1">
      <alignment horizontal="center" vertical="center"/>
    </xf>
    <xf numFmtId="9" fontId="46" fillId="0" borderId="11" xfId="77" applyNumberFormat="1" applyFont="1" applyFill="1" applyBorder="1" applyAlignment="1">
      <alignment horizontal="center" vertical="center" wrapText="1"/>
      <protection/>
    </xf>
    <xf numFmtId="0" fontId="74" fillId="0" borderId="10" xfId="0" applyFont="1" applyBorder="1" applyAlignment="1">
      <alignment vertical="center" wrapText="1"/>
    </xf>
    <xf numFmtId="2" fontId="65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71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65" fillId="0" borderId="10" xfId="0" applyNumberFormat="1" applyFont="1" applyBorder="1" applyAlignment="1">
      <alignment horizontal="center" vertical="center"/>
    </xf>
    <xf numFmtId="9" fontId="46" fillId="0" borderId="10" xfId="77" applyNumberFormat="1" applyFont="1" applyFill="1" applyBorder="1" applyAlignment="1">
      <alignment horizontal="center" vertical="center" wrapText="1"/>
      <protection/>
    </xf>
    <xf numFmtId="0" fontId="46" fillId="0" borderId="15" xfId="77" applyFont="1" applyFill="1" applyBorder="1" applyAlignment="1">
      <alignment horizontal="center" vertical="center" wrapText="1"/>
      <protection/>
    </xf>
    <xf numFmtId="0" fontId="70" fillId="0" borderId="10" xfId="0" applyFont="1" applyBorder="1" applyAlignment="1">
      <alignment horizontal="center" vertical="center"/>
    </xf>
    <xf numFmtId="1" fontId="65" fillId="0" borderId="10" xfId="0" applyNumberFormat="1" applyFont="1" applyBorder="1" applyAlignment="1">
      <alignment horizontal="center" vertical="center"/>
    </xf>
    <xf numFmtId="166" fontId="65" fillId="0" borderId="10" xfId="0" applyNumberFormat="1" applyFont="1" applyBorder="1" applyAlignment="1">
      <alignment horizontal="center" vertical="center"/>
    </xf>
    <xf numFmtId="165" fontId="65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164" fontId="47" fillId="0" borderId="0" xfId="0" applyNumberFormat="1" applyFont="1" applyAlignment="1">
      <alignment horizontal="center" vertical="center"/>
    </xf>
    <xf numFmtId="14" fontId="35" fillId="0" borderId="0" xfId="0" applyNumberFormat="1" applyFont="1" applyAlignment="1">
      <alignment horizontal="center" vertical="center"/>
    </xf>
    <xf numFmtId="0" fontId="119" fillId="42" borderId="0" xfId="0" applyFont="1" applyFill="1" applyBorder="1" applyAlignment="1">
      <alignment horizontal="center"/>
    </xf>
    <xf numFmtId="2" fontId="119" fillId="42" borderId="0" xfId="0" applyNumberFormat="1" applyFont="1" applyFill="1" applyBorder="1" applyAlignment="1">
      <alignment horizontal="center"/>
    </xf>
    <xf numFmtId="165" fontId="20" fillId="0" borderId="0" xfId="78" applyNumberFormat="1" applyFont="1" applyAlignment="1">
      <alignment/>
      <protection/>
    </xf>
    <xf numFmtId="2" fontId="117" fillId="0" borderId="0" xfId="0" applyNumberFormat="1" applyFont="1" applyAlignment="1">
      <alignment/>
    </xf>
    <xf numFmtId="2" fontId="120" fillId="42" borderId="18" xfId="0" applyNumberFormat="1" applyFont="1" applyFill="1" applyBorder="1" applyAlignment="1">
      <alignment horizontal="center" vertical="center" wrapText="1"/>
    </xf>
    <xf numFmtId="1" fontId="20" fillId="56" borderId="36" xfId="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57" borderId="13" xfId="0" applyFont="1" applyFill="1" applyBorder="1" applyAlignment="1">
      <alignment horizontal="center" vertical="center" wrapText="1"/>
    </xf>
    <xf numFmtId="0" fontId="6" fillId="57" borderId="18" xfId="0" applyFont="1" applyFill="1" applyBorder="1" applyAlignment="1">
      <alignment horizontal="center" vertical="center" wrapText="1"/>
    </xf>
    <xf numFmtId="0" fontId="6" fillId="57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46" borderId="57" xfId="0" applyFont="1" applyFill="1" applyBorder="1" applyAlignment="1">
      <alignment horizontal="center"/>
    </xf>
    <xf numFmtId="0" fontId="20" fillId="46" borderId="26" xfId="0" applyFont="1" applyFill="1" applyBorder="1" applyAlignment="1">
      <alignment horizontal="center"/>
    </xf>
    <xf numFmtId="0" fontId="20" fillId="46" borderId="50" xfId="0" applyFont="1" applyFill="1" applyBorder="1" applyAlignment="1">
      <alignment horizontal="center" vertical="center" wrapText="1"/>
    </xf>
    <xf numFmtId="0" fontId="20" fillId="46" borderId="10" xfId="0" applyFont="1" applyFill="1" applyBorder="1" applyAlignment="1">
      <alignment horizontal="center" vertical="center" wrapText="1"/>
    </xf>
    <xf numFmtId="0" fontId="20" fillId="46" borderId="58" xfId="0" applyFont="1" applyFill="1" applyBorder="1" applyAlignment="1">
      <alignment horizontal="center" vertical="center" wrapText="1"/>
    </xf>
    <xf numFmtId="0" fontId="20" fillId="46" borderId="34" xfId="0" applyFont="1" applyFill="1" applyBorder="1" applyAlignment="1">
      <alignment horizontal="center" vertical="center" wrapText="1"/>
    </xf>
    <xf numFmtId="0" fontId="20" fillId="46" borderId="59" xfId="0" applyFont="1" applyFill="1" applyBorder="1" applyAlignment="1">
      <alignment horizontal="center" vertical="center" wrapText="1"/>
    </xf>
    <xf numFmtId="0" fontId="20" fillId="46" borderId="25" xfId="0" applyFont="1" applyFill="1" applyBorder="1" applyAlignment="1">
      <alignment horizontal="center" vertical="center" wrapText="1"/>
    </xf>
    <xf numFmtId="0" fontId="20" fillId="46" borderId="23" xfId="0" applyFont="1" applyFill="1" applyBorder="1" applyAlignment="1">
      <alignment horizontal="center" vertical="center" wrapText="1"/>
    </xf>
    <xf numFmtId="0" fontId="20" fillId="46" borderId="20" xfId="0" applyFont="1" applyFill="1" applyBorder="1" applyAlignment="1">
      <alignment horizontal="center" vertical="center" wrapText="1"/>
    </xf>
    <xf numFmtId="0" fontId="22" fillId="46" borderId="50" xfId="72" applyFont="1" applyFill="1" applyBorder="1" applyAlignment="1">
      <alignment horizontal="center" vertical="center" wrapText="1"/>
      <protection/>
    </xf>
    <xf numFmtId="0" fontId="22" fillId="46" borderId="10" xfId="72" applyFont="1" applyFill="1" applyBorder="1" applyAlignment="1">
      <alignment horizontal="center" vertical="center" wrapText="1"/>
      <protection/>
    </xf>
    <xf numFmtId="0" fontId="20" fillId="46" borderId="50" xfId="72" applyFont="1" applyFill="1" applyBorder="1" applyAlignment="1">
      <alignment horizontal="center" vertical="center" wrapText="1"/>
      <protection/>
    </xf>
    <xf numFmtId="0" fontId="20" fillId="46" borderId="10" xfId="72" applyFont="1" applyFill="1" applyBorder="1" applyAlignment="1">
      <alignment horizontal="center" vertical="center" wrapText="1"/>
      <protection/>
    </xf>
    <xf numFmtId="0" fontId="20" fillId="46" borderId="56" xfId="0" applyFont="1" applyFill="1" applyBorder="1" applyAlignment="1">
      <alignment horizontal="center" vertical="center" wrapText="1"/>
    </xf>
    <xf numFmtId="0" fontId="20" fillId="46" borderId="12" xfId="0" applyFont="1" applyFill="1" applyBorder="1" applyAlignment="1">
      <alignment horizontal="center" vertical="center" wrapText="1"/>
    </xf>
    <xf numFmtId="0" fontId="25" fillId="46" borderId="10" xfId="72" applyFont="1" applyFill="1" applyBorder="1" applyAlignment="1">
      <alignment horizontal="center" vertical="center" wrapText="1"/>
      <protection/>
    </xf>
    <xf numFmtId="0" fontId="24" fillId="46" borderId="60" xfId="0" applyFont="1" applyFill="1" applyBorder="1" applyAlignment="1">
      <alignment horizontal="center" vertical="center"/>
    </xf>
    <xf numFmtId="0" fontId="24" fillId="46" borderId="23" xfId="0" applyFont="1" applyFill="1" applyBorder="1" applyAlignment="1">
      <alignment horizontal="center" vertical="center"/>
    </xf>
    <xf numFmtId="0" fontId="24" fillId="46" borderId="61" xfId="0" applyFont="1" applyFill="1" applyBorder="1" applyAlignment="1">
      <alignment horizontal="center" vertical="center"/>
    </xf>
    <xf numFmtId="0" fontId="19" fillId="42" borderId="19" xfId="0" applyFont="1" applyFill="1" applyBorder="1" applyAlignment="1">
      <alignment horizontal="center" vertical="center"/>
    </xf>
    <xf numFmtId="0" fontId="19" fillId="42" borderId="13" xfId="0" applyFont="1" applyFill="1" applyBorder="1" applyAlignment="1">
      <alignment horizontal="center" vertical="center" wrapText="1"/>
    </xf>
    <xf numFmtId="0" fontId="19" fillId="42" borderId="18" xfId="0" applyFont="1" applyFill="1" applyBorder="1" applyAlignment="1">
      <alignment horizontal="center" vertical="center" wrapText="1"/>
    </xf>
    <xf numFmtId="0" fontId="19" fillId="42" borderId="17" xfId="0" applyFont="1" applyFill="1" applyBorder="1" applyAlignment="1">
      <alignment horizontal="center" vertical="center" wrapText="1"/>
    </xf>
    <xf numFmtId="164" fontId="28" fillId="46" borderId="12" xfId="0" applyNumberFormat="1" applyFont="1" applyFill="1" applyBorder="1" applyAlignment="1">
      <alignment horizontal="center" vertical="center" wrapText="1"/>
    </xf>
    <xf numFmtId="0" fontId="23" fillId="46" borderId="50" xfId="72" applyFont="1" applyFill="1" applyBorder="1" applyAlignment="1">
      <alignment horizontal="center" vertical="center" wrapText="1"/>
      <protection/>
    </xf>
    <xf numFmtId="0" fontId="23" fillId="46" borderId="10" xfId="72" applyFont="1" applyFill="1" applyBorder="1" applyAlignment="1">
      <alignment horizontal="center" vertical="center" wrapText="1"/>
      <protection/>
    </xf>
    <xf numFmtId="0" fontId="19" fillId="42" borderId="10" xfId="0" applyFont="1" applyFill="1" applyBorder="1" applyAlignment="1">
      <alignment horizontal="center" vertical="center" wrapText="1"/>
    </xf>
    <xf numFmtId="164" fontId="28" fillId="0" borderId="12" xfId="0" applyNumberFormat="1" applyFont="1" applyBorder="1" applyAlignment="1">
      <alignment horizontal="center" vertical="center" wrapText="1"/>
    </xf>
    <xf numFmtId="0" fontId="28" fillId="46" borderId="62" xfId="0" applyFont="1" applyFill="1" applyBorder="1" applyAlignment="1">
      <alignment horizontal="center"/>
    </xf>
    <xf numFmtId="0" fontId="28" fillId="46" borderId="24" xfId="0" applyFont="1" applyFill="1" applyBorder="1" applyAlignment="1">
      <alignment horizontal="center"/>
    </xf>
    <xf numFmtId="0" fontId="28" fillId="46" borderId="54" xfId="0" applyFont="1" applyFill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24" fillId="46" borderId="62" xfId="0" applyFont="1" applyFill="1" applyBorder="1" applyAlignment="1">
      <alignment horizontal="center"/>
    </xf>
    <xf numFmtId="0" fontId="24" fillId="46" borderId="24" xfId="0" applyFont="1" applyFill="1" applyBorder="1" applyAlignment="1">
      <alignment horizontal="center"/>
    </xf>
    <xf numFmtId="0" fontId="24" fillId="46" borderId="54" xfId="0" applyFont="1" applyFill="1" applyBorder="1" applyAlignment="1">
      <alignment horizontal="center"/>
    </xf>
    <xf numFmtId="164" fontId="28" fillId="46" borderId="62" xfId="0" applyNumberFormat="1" applyFont="1" applyFill="1" applyBorder="1" applyAlignment="1">
      <alignment horizontal="center" vertical="center" wrapText="1"/>
    </xf>
    <xf numFmtId="164" fontId="28" fillId="46" borderId="24" xfId="0" applyNumberFormat="1" applyFont="1" applyFill="1" applyBorder="1" applyAlignment="1">
      <alignment horizontal="center" vertical="center" wrapText="1"/>
    </xf>
    <xf numFmtId="164" fontId="28" fillId="46" borderId="54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164" fontId="19" fillId="0" borderId="12" xfId="0" applyNumberFormat="1" applyFont="1" applyBorder="1" applyAlignment="1">
      <alignment horizontal="center" vertical="center" wrapText="1"/>
    </xf>
    <xf numFmtId="0" fontId="28" fillId="46" borderId="60" xfId="0" applyFont="1" applyFill="1" applyBorder="1" applyAlignment="1">
      <alignment horizontal="center"/>
    </xf>
    <xf numFmtId="0" fontId="28" fillId="46" borderId="23" xfId="0" applyFont="1" applyFill="1" applyBorder="1" applyAlignment="1">
      <alignment horizontal="center"/>
    </xf>
    <xf numFmtId="0" fontId="28" fillId="46" borderId="61" xfId="0" applyFont="1" applyFill="1" applyBorder="1" applyAlignment="1">
      <alignment horizontal="center"/>
    </xf>
    <xf numFmtId="0" fontId="19" fillId="0" borderId="3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64" fontId="19" fillId="0" borderId="39" xfId="0" applyNumberFormat="1" applyFont="1" applyBorder="1" applyAlignment="1">
      <alignment horizontal="center" vertical="center" wrapText="1"/>
    </xf>
    <xf numFmtId="0" fontId="20" fillId="42" borderId="0" xfId="0" applyFont="1" applyFill="1" applyBorder="1" applyAlignment="1">
      <alignment horizontal="center" vertical="center" wrapText="1"/>
    </xf>
    <xf numFmtId="0" fontId="34" fillId="42" borderId="0" xfId="0" applyFont="1" applyFill="1" applyBorder="1" applyAlignment="1">
      <alignment horizontal="center" vertical="center" wrapText="1"/>
    </xf>
    <xf numFmtId="0" fontId="24" fillId="42" borderId="0" xfId="0" applyFont="1" applyFill="1" applyBorder="1" applyAlignment="1">
      <alignment horizontal="center" vertical="center" wrapText="1"/>
    </xf>
    <xf numFmtId="0" fontId="36" fillId="42" borderId="0" xfId="0" applyFont="1" applyFill="1" applyBorder="1" applyAlignment="1">
      <alignment horizontal="right"/>
    </xf>
    <xf numFmtId="14" fontId="37" fillId="42" borderId="63" xfId="0" applyNumberFormat="1" applyFont="1" applyFill="1" applyBorder="1" applyAlignment="1">
      <alignment horizontal="center"/>
    </xf>
    <xf numFmtId="0" fontId="38" fillId="42" borderId="50" xfId="0" applyFont="1" applyFill="1" applyBorder="1" applyAlignment="1">
      <alignment horizontal="center" vertical="center" wrapText="1"/>
    </xf>
    <xf numFmtId="0" fontId="38" fillId="42" borderId="50" xfId="0" applyFont="1" applyFill="1" applyBorder="1" applyAlignment="1">
      <alignment/>
    </xf>
    <xf numFmtId="0" fontId="38" fillId="42" borderId="56" xfId="0" applyFont="1" applyFill="1" applyBorder="1" applyAlignment="1">
      <alignment horizontal="center" vertical="center"/>
    </xf>
    <xf numFmtId="0" fontId="38" fillId="42" borderId="12" xfId="0" applyFont="1" applyFill="1" applyBorder="1" applyAlignment="1">
      <alignment horizontal="center" vertical="center"/>
    </xf>
    <xf numFmtId="0" fontId="38" fillId="42" borderId="10" xfId="0" applyFont="1" applyFill="1" applyBorder="1" applyAlignment="1">
      <alignment horizontal="center" vertical="center"/>
    </xf>
    <xf numFmtId="0" fontId="38" fillId="42" borderId="10" xfId="0" applyFont="1" applyFill="1" applyBorder="1" applyAlignment="1">
      <alignment horizontal="center" vertical="center" wrapText="1"/>
    </xf>
    <xf numFmtId="0" fontId="38" fillId="42" borderId="12" xfId="0" applyFont="1" applyFill="1" applyBorder="1" applyAlignment="1">
      <alignment horizontal="center" vertical="center" wrapText="1"/>
    </xf>
    <xf numFmtId="0" fontId="38" fillId="42" borderId="15" xfId="0" applyFont="1" applyFill="1" applyBorder="1" applyAlignment="1">
      <alignment horizontal="center" vertical="center"/>
    </xf>
    <xf numFmtId="0" fontId="20" fillId="42" borderId="50" xfId="0" applyFont="1" applyFill="1" applyBorder="1" applyAlignment="1">
      <alignment horizontal="center" vertical="center" wrapText="1"/>
    </xf>
    <xf numFmtId="0" fontId="20" fillId="42" borderId="50" xfId="0" applyFont="1" applyFill="1" applyBorder="1" applyAlignment="1">
      <alignment/>
    </xf>
    <xf numFmtId="0" fontId="20" fillId="42" borderId="56" xfId="0" applyFont="1" applyFill="1" applyBorder="1" applyAlignment="1">
      <alignment/>
    </xf>
    <xf numFmtId="0" fontId="38" fillId="42" borderId="64" xfId="0" applyFont="1" applyFill="1" applyBorder="1" applyAlignment="1">
      <alignment horizontal="center" vertical="center"/>
    </xf>
    <xf numFmtId="0" fontId="38" fillId="42" borderId="54" xfId="0" applyFont="1" applyFill="1" applyBorder="1" applyAlignment="1">
      <alignment horizontal="center" vertical="center"/>
    </xf>
    <xf numFmtId="0" fontId="24" fillId="42" borderId="50" xfId="0" applyFont="1" applyFill="1" applyBorder="1" applyAlignment="1">
      <alignment horizontal="center" vertical="center" wrapText="1"/>
    </xf>
    <xf numFmtId="0" fontId="38" fillId="42" borderId="50" xfId="0" applyFont="1" applyFill="1" applyBorder="1" applyAlignment="1">
      <alignment horizontal="center" vertical="center"/>
    </xf>
    <xf numFmtId="0" fontId="38" fillId="42" borderId="51" xfId="0" applyFont="1" applyFill="1" applyBorder="1" applyAlignment="1">
      <alignment horizontal="center" vertical="center" wrapText="1"/>
    </xf>
    <xf numFmtId="0" fontId="38" fillId="42" borderId="19" xfId="0" applyFont="1" applyFill="1" applyBorder="1" applyAlignment="1">
      <alignment horizontal="center" vertical="center" wrapText="1"/>
    </xf>
    <xf numFmtId="0" fontId="35" fillId="42" borderId="51" xfId="0" applyFont="1" applyFill="1" applyBorder="1" applyAlignment="1">
      <alignment horizontal="center" vertical="center" wrapText="1"/>
    </xf>
    <xf numFmtId="0" fontId="35" fillId="42" borderId="19" xfId="0" applyFont="1" applyFill="1" applyBorder="1" applyAlignment="1">
      <alignment horizontal="center" vertical="center" wrapText="1"/>
    </xf>
    <xf numFmtId="0" fontId="38" fillId="42" borderId="65" xfId="0" applyFont="1" applyFill="1" applyBorder="1" applyAlignment="1">
      <alignment horizontal="center" vertical="center" wrapText="1"/>
    </xf>
    <xf numFmtId="0" fontId="38" fillId="42" borderId="34" xfId="0" applyFont="1" applyFill="1" applyBorder="1" applyAlignment="1">
      <alignment horizontal="center" vertical="center" wrapText="1"/>
    </xf>
    <xf numFmtId="0" fontId="24" fillId="42" borderId="13" xfId="0" applyFont="1" applyFill="1" applyBorder="1" applyAlignment="1">
      <alignment horizontal="center" vertical="center" wrapText="1"/>
    </xf>
    <xf numFmtId="0" fontId="24" fillId="42" borderId="17" xfId="0" applyFont="1" applyFill="1" applyBorder="1" applyAlignment="1">
      <alignment horizontal="center" vertical="center" wrapText="1"/>
    </xf>
    <xf numFmtId="164" fontId="24" fillId="42" borderId="11" xfId="0" applyNumberFormat="1" applyFont="1" applyFill="1" applyBorder="1" applyAlignment="1">
      <alignment horizontal="center" vertical="center"/>
    </xf>
    <xf numFmtId="164" fontId="24" fillId="42" borderId="15" xfId="0" applyNumberFormat="1" applyFont="1" applyFill="1" applyBorder="1" applyAlignment="1">
      <alignment horizontal="center" vertical="center"/>
    </xf>
    <xf numFmtId="168" fontId="24" fillId="42" borderId="11" xfId="98" applyNumberFormat="1" applyFont="1" applyFill="1" applyBorder="1" applyAlignment="1">
      <alignment horizontal="center" vertical="center"/>
    </xf>
    <xf numFmtId="168" fontId="24" fillId="42" borderId="15" xfId="98" applyNumberFormat="1" applyFont="1" applyFill="1" applyBorder="1" applyAlignment="1">
      <alignment horizontal="center" vertical="center"/>
    </xf>
    <xf numFmtId="0" fontId="42" fillId="42" borderId="19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24" fillId="42" borderId="12" xfId="0" applyFont="1" applyFill="1" applyBorder="1" applyAlignment="1">
      <alignment horizontal="center" vertical="center"/>
    </xf>
    <xf numFmtId="0" fontId="24" fillId="42" borderId="19" xfId="0" applyFont="1" applyFill="1" applyBorder="1" applyAlignment="1">
      <alignment horizontal="center" vertical="center" wrapText="1"/>
    </xf>
    <xf numFmtId="0" fontId="24" fillId="42" borderId="11" xfId="0" applyFont="1" applyFill="1" applyBorder="1" applyAlignment="1">
      <alignment horizontal="center" vertical="center"/>
    </xf>
    <xf numFmtId="0" fontId="24" fillId="42" borderId="15" xfId="0" applyFont="1" applyFill="1" applyBorder="1" applyAlignment="1">
      <alignment horizontal="center" vertical="center"/>
    </xf>
    <xf numFmtId="0" fontId="35" fillId="42" borderId="10" xfId="0" applyFont="1" applyFill="1" applyBorder="1" applyAlignment="1">
      <alignment horizontal="center" vertical="center"/>
    </xf>
    <xf numFmtId="0" fontId="24" fillId="42" borderId="14" xfId="0" applyFont="1" applyFill="1" applyBorder="1" applyAlignment="1">
      <alignment horizontal="center" vertical="center" wrapText="1"/>
    </xf>
    <xf numFmtId="0" fontId="24" fillId="42" borderId="26" xfId="0" applyFont="1" applyFill="1" applyBorder="1" applyAlignment="1">
      <alignment horizontal="center" vertical="center" wrapText="1"/>
    </xf>
    <xf numFmtId="0" fontId="35" fillId="42" borderId="10" xfId="0" applyFont="1" applyFill="1" applyBorder="1" applyAlignment="1">
      <alignment horizontal="center" vertical="center" wrapText="1"/>
    </xf>
    <xf numFmtId="0" fontId="34" fillId="42" borderId="10" xfId="0" applyFont="1" applyFill="1" applyBorder="1" applyAlignment="1">
      <alignment horizontal="center" vertical="center" wrapText="1"/>
    </xf>
    <xf numFmtId="0" fontId="34" fillId="42" borderId="10" xfId="0" applyFont="1" applyFill="1" applyBorder="1" applyAlignment="1">
      <alignment/>
    </xf>
    <xf numFmtId="0" fontId="24" fillId="42" borderId="10" xfId="0" applyFont="1" applyFill="1" applyBorder="1" applyAlignment="1">
      <alignment horizontal="center" vertical="center" wrapText="1"/>
    </xf>
    <xf numFmtId="164" fontId="24" fillId="42" borderId="10" xfId="0" applyNumberFormat="1" applyFont="1" applyFill="1" applyBorder="1" applyAlignment="1">
      <alignment horizontal="center" vertical="center"/>
    </xf>
    <xf numFmtId="168" fontId="24" fillId="42" borderId="10" xfId="98" applyNumberFormat="1" applyFont="1" applyFill="1" applyBorder="1" applyAlignment="1">
      <alignment horizontal="center" vertical="center"/>
    </xf>
    <xf numFmtId="0" fontId="42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 wrapText="1"/>
    </xf>
    <xf numFmtId="164" fontId="20" fillId="0" borderId="11" xfId="0" applyNumberFormat="1" applyFont="1" applyFill="1" applyBorder="1" applyAlignment="1">
      <alignment horizontal="center" vertical="center"/>
    </xf>
    <xf numFmtId="164" fontId="20" fillId="0" borderId="15" xfId="0" applyNumberFormat="1" applyFont="1" applyFill="1" applyBorder="1" applyAlignment="1">
      <alignment horizontal="center" vertical="center"/>
    </xf>
    <xf numFmtId="0" fontId="4" fillId="42" borderId="13" xfId="0" applyFont="1" applyFill="1" applyBorder="1" applyAlignment="1">
      <alignment horizontal="center" wrapText="1"/>
    </xf>
    <xf numFmtId="0" fontId="4" fillId="42" borderId="17" xfId="0" applyFont="1" applyFill="1" applyBorder="1" applyAlignment="1">
      <alignment horizontal="center" wrapText="1"/>
    </xf>
    <xf numFmtId="0" fontId="4" fillId="42" borderId="13" xfId="0" applyFont="1" applyFill="1" applyBorder="1" applyAlignment="1">
      <alignment horizontal="center" vertical="center" wrapText="1"/>
    </xf>
    <xf numFmtId="0" fontId="4" fillId="42" borderId="17" xfId="0" applyFont="1" applyFill="1" applyBorder="1" applyAlignment="1">
      <alignment horizontal="center" vertical="center" wrapText="1"/>
    </xf>
    <xf numFmtId="14" fontId="37" fillId="42" borderId="0" xfId="0" applyNumberFormat="1" applyFont="1" applyFill="1" applyBorder="1" applyAlignment="1">
      <alignment horizontal="center"/>
    </xf>
    <xf numFmtId="168" fontId="38" fillId="0" borderId="11" xfId="98" applyNumberFormat="1" applyFont="1" applyFill="1" applyBorder="1" applyAlignment="1">
      <alignment horizontal="center" vertical="center"/>
    </xf>
    <xf numFmtId="168" fontId="38" fillId="0" borderId="24" xfId="98" applyNumberFormat="1" applyFont="1" applyFill="1" applyBorder="1" applyAlignment="1">
      <alignment horizontal="center" vertical="center"/>
    </xf>
    <xf numFmtId="168" fontId="38" fillId="0" borderId="15" xfId="98" applyNumberFormat="1" applyFont="1" applyFill="1" applyBorder="1" applyAlignment="1">
      <alignment horizontal="center" vertical="center"/>
    </xf>
    <xf numFmtId="0" fontId="34" fillId="42" borderId="13" xfId="0" applyFont="1" applyFill="1" applyBorder="1" applyAlignment="1">
      <alignment horizontal="center" wrapText="1"/>
    </xf>
    <xf numFmtId="0" fontId="34" fillId="42" borderId="17" xfId="0" applyFont="1" applyFill="1" applyBorder="1" applyAlignment="1">
      <alignment horizontal="center" wrapText="1"/>
    </xf>
    <xf numFmtId="168" fontId="20" fillId="0" borderId="10" xfId="98" applyNumberFormat="1" applyFont="1" applyFill="1" applyBorder="1" applyAlignment="1">
      <alignment horizontal="center" vertical="center"/>
    </xf>
    <xf numFmtId="168" fontId="20" fillId="0" borderId="11" xfId="98" applyNumberFormat="1" applyFont="1" applyFill="1" applyBorder="1" applyAlignment="1">
      <alignment horizontal="center" vertical="center"/>
    </xf>
    <xf numFmtId="168" fontId="20" fillId="0" borderId="24" xfId="98" applyNumberFormat="1" applyFont="1" applyFill="1" applyBorder="1" applyAlignment="1">
      <alignment horizontal="center" vertical="center"/>
    </xf>
    <xf numFmtId="168" fontId="20" fillId="0" borderId="15" xfId="98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71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71" fillId="0" borderId="0" xfId="0" applyFont="1" applyAlignment="1">
      <alignment horizontal="left" vertical="center" wrapText="1"/>
    </xf>
    <xf numFmtId="0" fontId="22" fillId="0" borderId="0" xfId="78" applyFont="1" applyAlignment="1">
      <alignment horizontal="center"/>
      <protection/>
    </xf>
    <xf numFmtId="0" fontId="24" fillId="0" borderId="47" xfId="78" applyFont="1" applyFill="1" applyBorder="1" applyAlignment="1">
      <alignment horizontal="center" vertical="center"/>
      <protection/>
    </xf>
    <xf numFmtId="0" fontId="24" fillId="0" borderId="48" xfId="78" applyFont="1" applyFill="1" applyBorder="1" applyAlignment="1">
      <alignment horizontal="center" vertical="center"/>
      <protection/>
    </xf>
    <xf numFmtId="0" fontId="24" fillId="0" borderId="66" xfId="78" applyFont="1" applyFill="1" applyBorder="1" applyAlignment="1">
      <alignment horizontal="center" vertical="center"/>
      <protection/>
    </xf>
    <xf numFmtId="0" fontId="24" fillId="0" borderId="67" xfId="78" applyFont="1" applyFill="1" applyBorder="1" applyAlignment="1">
      <alignment horizontal="center" vertical="center"/>
      <protection/>
    </xf>
    <xf numFmtId="0" fontId="24" fillId="0" borderId="24" xfId="78" applyFont="1" applyFill="1" applyBorder="1" applyAlignment="1">
      <alignment horizontal="center" vertical="center"/>
      <protection/>
    </xf>
    <xf numFmtId="0" fontId="24" fillId="0" borderId="46" xfId="78" applyFont="1" applyFill="1" applyBorder="1" applyAlignment="1">
      <alignment horizontal="center" vertical="center"/>
      <protection/>
    </xf>
    <xf numFmtId="0" fontId="24" fillId="0" borderId="68" xfId="78" applyFont="1" applyFill="1" applyBorder="1" applyAlignment="1">
      <alignment horizontal="center" vertical="center" wrapText="1"/>
      <protection/>
    </xf>
    <xf numFmtId="0" fontId="24" fillId="0" borderId="69" xfId="78" applyFont="1" applyFill="1" applyBorder="1" applyAlignment="1">
      <alignment horizontal="center" vertical="center" wrapText="1"/>
      <protection/>
    </xf>
    <xf numFmtId="0" fontId="24" fillId="0" borderId="70" xfId="78" applyFont="1" applyFill="1" applyBorder="1" applyAlignment="1">
      <alignment horizontal="center" vertical="center" wrapText="1"/>
      <protection/>
    </xf>
    <xf numFmtId="0" fontId="24" fillId="0" borderId="51" xfId="78" applyFont="1" applyFill="1" applyBorder="1" applyAlignment="1">
      <alignment horizontal="center" vertical="center" wrapText="1"/>
      <protection/>
    </xf>
    <xf numFmtId="0" fontId="24" fillId="0" borderId="56" xfId="78" applyFont="1" applyFill="1" applyBorder="1" applyAlignment="1">
      <alignment horizontal="center" vertical="center" wrapText="1"/>
      <protection/>
    </xf>
    <xf numFmtId="0" fontId="24" fillId="0" borderId="38" xfId="78" applyFont="1" applyFill="1" applyBorder="1" applyAlignment="1">
      <alignment horizontal="center" vertical="center" wrapText="1"/>
      <protection/>
    </xf>
    <xf numFmtId="0" fontId="24" fillId="0" borderId="37" xfId="78" applyFont="1" applyFill="1" applyBorder="1" applyAlignment="1">
      <alignment horizontal="center" vertical="center" wrapText="1"/>
      <protection/>
    </xf>
    <xf numFmtId="0" fontId="24" fillId="0" borderId="31" xfId="78" applyFont="1" applyFill="1" applyBorder="1" applyAlignment="1">
      <alignment horizontal="center" vertical="center" wrapText="1"/>
      <protection/>
    </xf>
    <xf numFmtId="0" fontId="24" fillId="0" borderId="32" xfId="78" applyFont="1" applyFill="1" applyBorder="1" applyAlignment="1">
      <alignment horizontal="center" vertical="center" wrapText="1"/>
      <protection/>
    </xf>
    <xf numFmtId="0" fontId="24" fillId="0" borderId="29" xfId="78" applyFont="1" applyFill="1" applyBorder="1" applyAlignment="1">
      <alignment horizontal="center" vertical="center" wrapText="1"/>
      <protection/>
    </xf>
    <xf numFmtId="0" fontId="24" fillId="0" borderId="33" xfId="78" applyFont="1" applyFill="1" applyBorder="1" applyAlignment="1">
      <alignment horizontal="center" vertical="center" wrapText="1"/>
      <protection/>
    </xf>
    <xf numFmtId="0" fontId="24" fillId="0" borderId="30" xfId="78" applyFont="1" applyFill="1" applyBorder="1" applyAlignment="1">
      <alignment horizontal="center" vertical="center" wrapText="1"/>
      <protection/>
    </xf>
    <xf numFmtId="0" fontId="24" fillId="0" borderId="31" xfId="78" applyFont="1" applyBorder="1" applyAlignment="1">
      <alignment horizontal="center" vertical="center" wrapText="1"/>
      <protection/>
    </xf>
    <xf numFmtId="0" fontId="24" fillId="0" borderId="71" xfId="78" applyFont="1" applyFill="1" applyBorder="1" applyAlignment="1">
      <alignment horizontal="center" vertical="center" wrapText="1"/>
      <protection/>
    </xf>
    <xf numFmtId="0" fontId="24" fillId="0" borderId="49" xfId="78" applyFont="1" applyFill="1" applyBorder="1" applyAlignment="1">
      <alignment horizontal="center" vertical="center" wrapText="1"/>
      <protection/>
    </xf>
    <xf numFmtId="0" fontId="24" fillId="0" borderId="19" xfId="78" applyFont="1" applyFill="1" applyBorder="1" applyAlignment="1">
      <alignment horizontal="center" vertical="center" wrapText="1"/>
      <protection/>
    </xf>
    <xf numFmtId="0" fontId="24" fillId="0" borderId="12" xfId="78" applyFont="1" applyFill="1" applyBorder="1" applyAlignment="1">
      <alignment horizontal="center" vertical="center" wrapText="1"/>
      <protection/>
    </xf>
    <xf numFmtId="0" fontId="24" fillId="0" borderId="47" xfId="78" applyFont="1" applyFill="1" applyBorder="1" applyAlignment="1">
      <alignment horizontal="center" vertical="center" wrapText="1"/>
      <protection/>
    </xf>
    <xf numFmtId="0" fontId="24" fillId="0" borderId="48" xfId="78" applyFont="1" applyFill="1" applyBorder="1" applyAlignment="1">
      <alignment horizontal="center" vertical="center" wrapText="1"/>
      <protection/>
    </xf>
    <xf numFmtId="0" fontId="24" fillId="0" borderId="33" xfId="78" applyFont="1" applyBorder="1" applyAlignment="1">
      <alignment horizontal="center" vertical="center" wrapText="1"/>
      <protection/>
    </xf>
    <xf numFmtId="0" fontId="24" fillId="0" borderId="15" xfId="78" applyFont="1" applyBorder="1" applyAlignment="1">
      <alignment horizontal="center" vertical="center" wrapText="1"/>
      <protection/>
    </xf>
    <xf numFmtId="0" fontId="24" fillId="0" borderId="10" xfId="78" applyFont="1" applyBorder="1" applyAlignment="1">
      <alignment horizontal="center" vertical="center" wrapText="1"/>
      <protection/>
    </xf>
    <xf numFmtId="0" fontId="24" fillId="0" borderId="10" xfId="78" applyFont="1" applyFill="1" applyBorder="1" applyAlignment="1">
      <alignment horizontal="center" vertical="center" wrapText="1"/>
      <protection/>
    </xf>
    <xf numFmtId="0" fontId="24" fillId="0" borderId="11" xfId="78" applyFont="1" applyFill="1" applyBorder="1" applyAlignment="1">
      <alignment horizontal="center" vertical="center" wrapText="1"/>
      <protection/>
    </xf>
    <xf numFmtId="0" fontId="24" fillId="0" borderId="34" xfId="78" applyFont="1" applyFill="1" applyBorder="1" applyAlignment="1">
      <alignment horizontal="center" vertical="center" wrapText="1"/>
      <protection/>
    </xf>
    <xf numFmtId="0" fontId="24" fillId="0" borderId="67" xfId="78" applyFont="1" applyFill="1" applyBorder="1" applyAlignment="1">
      <alignment horizontal="center" vertical="center" wrapText="1"/>
      <protection/>
    </xf>
    <xf numFmtId="1" fontId="35" fillId="0" borderId="14" xfId="78" applyNumberFormat="1" applyFont="1" applyFill="1" applyBorder="1" applyAlignment="1">
      <alignment horizontal="center" vertical="center" textRotation="90" readingOrder="1"/>
      <protection/>
    </xf>
    <xf numFmtId="1" fontId="35" fillId="0" borderId="72" xfId="78" applyNumberFormat="1" applyFont="1" applyFill="1" applyBorder="1" applyAlignment="1">
      <alignment horizontal="center" vertical="center" textRotation="90" readingOrder="1"/>
      <protection/>
    </xf>
    <xf numFmtId="3" fontId="35" fillId="0" borderId="13" xfId="78" applyNumberFormat="1" applyFont="1" applyFill="1" applyBorder="1" applyAlignment="1">
      <alignment horizontal="center" vertical="center" wrapText="1"/>
      <protection/>
    </xf>
    <xf numFmtId="3" fontId="35" fillId="0" borderId="18" xfId="78" applyNumberFormat="1" applyFont="1" applyFill="1" applyBorder="1" applyAlignment="1">
      <alignment horizontal="center" vertical="center" wrapText="1"/>
      <protection/>
    </xf>
    <xf numFmtId="3" fontId="35" fillId="0" borderId="17" xfId="78" applyNumberFormat="1" applyFont="1" applyFill="1" applyBorder="1" applyAlignment="1">
      <alignment horizontal="center" vertical="center" wrapText="1"/>
      <protection/>
    </xf>
    <xf numFmtId="3" fontId="35" fillId="0" borderId="13" xfId="78" applyNumberFormat="1" applyFont="1" applyFill="1" applyBorder="1" applyAlignment="1">
      <alignment horizontal="center" vertical="center"/>
      <protection/>
    </xf>
    <xf numFmtId="3" fontId="35" fillId="0" borderId="18" xfId="78" applyNumberFormat="1" applyFont="1" applyFill="1" applyBorder="1" applyAlignment="1">
      <alignment horizontal="center" vertical="center"/>
      <protection/>
    </xf>
    <xf numFmtId="3" fontId="35" fillId="0" borderId="17" xfId="78" applyNumberFormat="1" applyFont="1" applyFill="1" applyBorder="1" applyAlignment="1">
      <alignment horizontal="center" vertical="center"/>
      <protection/>
    </xf>
    <xf numFmtId="0" fontId="35" fillId="0" borderId="10" xfId="78" applyFont="1" applyFill="1" applyBorder="1" applyAlignment="1">
      <alignment horizontal="center" vertical="center" wrapText="1"/>
      <protection/>
    </xf>
    <xf numFmtId="1" fontId="35" fillId="0" borderId="26" xfId="78" applyNumberFormat="1" applyFont="1" applyFill="1" applyBorder="1" applyAlignment="1">
      <alignment horizontal="center" vertical="center" textRotation="90" readingOrder="1"/>
      <protection/>
    </xf>
    <xf numFmtId="0" fontId="35" fillId="0" borderId="73" xfId="78" applyFont="1" applyFill="1" applyBorder="1" applyAlignment="1">
      <alignment horizontal="center" vertical="center" wrapText="1"/>
      <protection/>
    </xf>
    <xf numFmtId="0" fontId="57" fillId="0" borderId="48" xfId="78" applyFont="1" applyBorder="1">
      <alignment/>
      <protection/>
    </xf>
    <xf numFmtId="0" fontId="57" fillId="0" borderId="40" xfId="78" applyFont="1" applyBorder="1">
      <alignment/>
      <protection/>
    </xf>
    <xf numFmtId="1" fontId="21" fillId="0" borderId="14" xfId="78" applyNumberFormat="1" applyFont="1" applyFill="1" applyBorder="1" applyAlignment="1">
      <alignment horizontal="center" vertical="center"/>
      <protection/>
    </xf>
    <xf numFmtId="0" fontId="0" fillId="0" borderId="72" xfId="78" applyFill="1" applyBorder="1">
      <alignment/>
      <protection/>
    </xf>
    <xf numFmtId="0" fontId="0" fillId="0" borderId="26" xfId="78" applyFill="1" applyBorder="1">
      <alignment/>
      <protection/>
    </xf>
    <xf numFmtId="3" fontId="35" fillId="0" borderId="73" xfId="78" applyNumberFormat="1" applyFont="1" applyFill="1" applyBorder="1" applyAlignment="1">
      <alignment horizontal="center" vertical="center" wrapText="1"/>
      <protection/>
    </xf>
    <xf numFmtId="3" fontId="35" fillId="0" borderId="48" xfId="78" applyNumberFormat="1" applyFont="1" applyFill="1" applyBorder="1" applyAlignment="1">
      <alignment horizontal="center" vertical="center" wrapText="1"/>
      <protection/>
    </xf>
    <xf numFmtId="3" fontId="35" fillId="0" borderId="40" xfId="78" applyNumberFormat="1" applyFont="1" applyFill="1" applyBorder="1" applyAlignment="1">
      <alignment horizontal="center" vertical="center" wrapText="1"/>
      <protection/>
    </xf>
    <xf numFmtId="167" fontId="35" fillId="0" borderId="73" xfId="78" applyNumberFormat="1" applyFont="1" applyFill="1" applyBorder="1" applyAlignment="1">
      <alignment horizontal="center" vertical="center"/>
      <protection/>
    </xf>
    <xf numFmtId="167" fontId="35" fillId="0" borderId="48" xfId="78" applyNumberFormat="1" applyFont="1" applyFill="1" applyBorder="1" applyAlignment="1">
      <alignment horizontal="center" vertical="center"/>
      <protection/>
    </xf>
    <xf numFmtId="167" fontId="35" fillId="0" borderId="40" xfId="78" applyNumberFormat="1" applyFont="1" applyFill="1" applyBorder="1" applyAlignment="1">
      <alignment horizontal="center" vertical="center"/>
      <protection/>
    </xf>
    <xf numFmtId="0" fontId="35" fillId="46" borderId="10" xfId="78" applyFont="1" applyFill="1" applyBorder="1" applyAlignment="1">
      <alignment horizontal="center" vertical="center" wrapText="1"/>
      <protection/>
    </xf>
    <xf numFmtId="2" fontId="42" fillId="48" borderId="62" xfId="78" applyNumberFormat="1" applyFont="1" applyFill="1" applyBorder="1" applyAlignment="1">
      <alignment horizontal="left" vertical="center" wrapText="1"/>
      <protection/>
    </xf>
    <xf numFmtId="2" fontId="42" fillId="48" borderId="24" xfId="78" applyNumberFormat="1" applyFont="1" applyFill="1" applyBorder="1" applyAlignment="1">
      <alignment horizontal="left" vertical="center" wrapText="1"/>
      <protection/>
    </xf>
    <xf numFmtId="2" fontId="42" fillId="48" borderId="15" xfId="78" applyNumberFormat="1" applyFont="1" applyFill="1" applyBorder="1" applyAlignment="1">
      <alignment horizontal="left" vertical="center" wrapText="1"/>
      <protection/>
    </xf>
    <xf numFmtId="2" fontId="42" fillId="48" borderId="62" xfId="78" applyNumberFormat="1" applyFont="1" applyFill="1" applyBorder="1" applyAlignment="1">
      <alignment horizontal="left" vertical="center"/>
      <protection/>
    </xf>
    <xf numFmtId="2" fontId="42" fillId="48" borderId="24" xfId="78" applyNumberFormat="1" applyFont="1" applyFill="1" applyBorder="1" applyAlignment="1">
      <alignment horizontal="left" vertical="center"/>
      <protection/>
    </xf>
    <xf numFmtId="2" fontId="42" fillId="48" borderId="15" xfId="78" applyNumberFormat="1" applyFont="1" applyFill="1" applyBorder="1" applyAlignment="1">
      <alignment horizontal="left" vertical="center"/>
      <protection/>
    </xf>
    <xf numFmtId="1" fontId="38" fillId="0" borderId="19" xfId="78" applyNumberFormat="1" applyFont="1" applyFill="1" applyBorder="1" applyAlignment="1">
      <alignment horizontal="center" vertical="center" textRotation="90" wrapText="1"/>
      <protection/>
    </xf>
    <xf numFmtId="1" fontId="38" fillId="0" borderId="14" xfId="78" applyNumberFormat="1" applyFont="1" applyFill="1" applyBorder="1" applyAlignment="1">
      <alignment horizontal="center" vertical="center" textRotation="90" wrapText="1"/>
      <protection/>
    </xf>
    <xf numFmtId="1" fontId="38" fillId="0" borderId="72" xfId="78" applyNumberFormat="1" applyFont="1" applyFill="1" applyBorder="1" applyAlignment="1">
      <alignment horizontal="center" vertical="center" textRotation="90" wrapText="1"/>
      <protection/>
    </xf>
    <xf numFmtId="2" fontId="58" fillId="48" borderId="62" xfId="78" applyNumberFormat="1" applyFont="1" applyFill="1" applyBorder="1" applyAlignment="1">
      <alignment horizontal="left" vertical="center"/>
      <protection/>
    </xf>
    <xf numFmtId="2" fontId="58" fillId="48" borderId="24" xfId="78" applyNumberFormat="1" applyFont="1" applyFill="1" applyBorder="1" applyAlignment="1">
      <alignment horizontal="left" vertical="center"/>
      <protection/>
    </xf>
    <xf numFmtId="1" fontId="20" fillId="0" borderId="11" xfId="78" applyNumberFormat="1" applyFont="1" applyFill="1" applyBorder="1" applyAlignment="1">
      <alignment horizontal="left" vertical="center"/>
      <protection/>
    </xf>
    <xf numFmtId="1" fontId="20" fillId="0" borderId="24" xfId="78" applyNumberFormat="1" applyFont="1" applyFill="1" applyBorder="1" applyAlignment="1">
      <alignment horizontal="left" vertical="center"/>
      <protection/>
    </xf>
    <xf numFmtId="1" fontId="20" fillId="0" borderId="15" xfId="78" applyNumberFormat="1" applyFont="1" applyFill="1" applyBorder="1" applyAlignment="1">
      <alignment horizontal="left" vertical="center"/>
      <protection/>
    </xf>
    <xf numFmtId="0" fontId="0" fillId="0" borderId="24" xfId="78" applyBorder="1" applyAlignment="1">
      <alignment horizontal="left" vertical="center"/>
      <protection/>
    </xf>
    <xf numFmtId="0" fontId="0" fillId="0" borderId="15" xfId="78" applyBorder="1" applyAlignment="1">
      <alignment horizontal="left" vertical="center"/>
      <protection/>
    </xf>
    <xf numFmtId="1" fontId="35" fillId="0" borderId="14" xfId="78" applyNumberFormat="1" applyFont="1" applyFill="1" applyBorder="1" applyAlignment="1">
      <alignment horizontal="center" vertical="center"/>
      <protection/>
    </xf>
    <xf numFmtId="1" fontId="35" fillId="0" borderId="72" xfId="78" applyNumberFormat="1" applyFont="1" applyFill="1" applyBorder="1" applyAlignment="1">
      <alignment horizontal="center" vertical="center"/>
      <protection/>
    </xf>
    <xf numFmtId="1" fontId="35" fillId="0" borderId="26" xfId="78" applyNumberFormat="1" applyFont="1" applyFill="1" applyBorder="1" applyAlignment="1">
      <alignment horizontal="center" vertical="center"/>
      <protection/>
    </xf>
    <xf numFmtId="3" fontId="35" fillId="46" borderId="13" xfId="78" applyNumberFormat="1" applyFont="1" applyFill="1" applyBorder="1" applyAlignment="1">
      <alignment horizontal="center" vertical="center"/>
      <protection/>
    </xf>
    <xf numFmtId="3" fontId="35" fillId="46" borderId="18" xfId="78" applyNumberFormat="1" applyFont="1" applyFill="1" applyBorder="1" applyAlignment="1">
      <alignment horizontal="center" vertical="center"/>
      <protection/>
    </xf>
    <xf numFmtId="3" fontId="35" fillId="46" borderId="17" xfId="78" applyNumberFormat="1" applyFont="1" applyFill="1" applyBorder="1" applyAlignment="1">
      <alignment horizontal="center" vertical="center"/>
      <protection/>
    </xf>
    <xf numFmtId="0" fontId="42" fillId="0" borderId="10" xfId="78" applyFont="1" applyBorder="1" applyAlignment="1">
      <alignment horizontal="center" vertical="center" wrapText="1"/>
      <protection/>
    </xf>
    <xf numFmtId="0" fontId="42" fillId="0" borderId="10" xfId="78" applyFont="1" applyBorder="1" applyAlignment="1">
      <alignment horizontal="left" vertical="center" wrapText="1"/>
      <protection/>
    </xf>
    <xf numFmtId="0" fontId="61" fillId="0" borderId="10" xfId="78" applyFont="1" applyBorder="1" applyAlignment="1">
      <alignment horizontal="center" vertical="center" wrapText="1"/>
      <protection/>
    </xf>
    <xf numFmtId="0" fontId="61" fillId="0" borderId="11" xfId="78" applyFont="1" applyBorder="1" applyAlignment="1">
      <alignment horizontal="center" vertical="center" wrapText="1"/>
      <protection/>
    </xf>
    <xf numFmtId="0" fontId="61" fillId="0" borderId="24" xfId="78" applyFont="1" applyBorder="1" applyAlignment="1">
      <alignment horizontal="center" vertical="center" wrapText="1"/>
      <protection/>
    </xf>
    <xf numFmtId="0" fontId="61" fillId="0" borderId="15" xfId="78" applyFont="1" applyBorder="1" applyAlignment="1">
      <alignment horizontal="center" vertical="center" wrapText="1"/>
      <protection/>
    </xf>
    <xf numFmtId="1" fontId="45" fillId="0" borderId="11" xfId="78" applyNumberFormat="1" applyFont="1" applyFill="1" applyBorder="1" applyAlignment="1">
      <alignment horizontal="left" vertical="center" wrapText="1"/>
      <protection/>
    </xf>
    <xf numFmtId="1" fontId="45" fillId="0" borderId="24" xfId="78" applyNumberFormat="1" applyFont="1" applyFill="1" applyBorder="1" applyAlignment="1">
      <alignment horizontal="left" vertical="center" wrapText="1"/>
      <protection/>
    </xf>
    <xf numFmtId="1" fontId="45" fillId="0" borderId="15" xfId="78" applyNumberFormat="1" applyFont="1" applyFill="1" applyBorder="1" applyAlignment="1">
      <alignment horizontal="left" vertical="center" wrapText="1"/>
      <protection/>
    </xf>
    <xf numFmtId="1" fontId="35" fillId="0" borderId="21" xfId="78" applyNumberFormat="1" applyFont="1" applyFill="1" applyBorder="1" applyAlignment="1">
      <alignment horizontal="center" vertical="center"/>
      <protection/>
    </xf>
    <xf numFmtId="0" fontId="24" fillId="0" borderId="23" xfId="78" applyFont="1" applyBorder="1" applyAlignment="1">
      <alignment horizontal="center"/>
      <protection/>
    </xf>
    <xf numFmtId="0" fontId="42" fillId="0" borderId="27" xfId="78" applyFont="1" applyBorder="1" applyAlignment="1">
      <alignment horizontal="center" vertical="center" wrapText="1"/>
      <protection/>
    </xf>
    <xf numFmtId="0" fontId="42" fillId="0" borderId="22" xfId="78" applyFont="1" applyBorder="1" applyAlignment="1">
      <alignment horizontal="center" vertical="center" wrapText="1"/>
      <protection/>
    </xf>
    <xf numFmtId="0" fontId="42" fillId="0" borderId="25" xfId="78" applyFont="1" applyBorder="1" applyAlignment="1">
      <alignment horizontal="center" vertical="center" wrapText="1"/>
      <protection/>
    </xf>
    <xf numFmtId="0" fontId="42" fillId="0" borderId="20" xfId="78" applyFont="1" applyBorder="1" applyAlignment="1">
      <alignment horizontal="center" vertical="center" wrapText="1"/>
      <protection/>
    </xf>
    <xf numFmtId="0" fontId="42" fillId="0" borderId="21" xfId="78" applyFont="1" applyBorder="1" applyAlignment="1">
      <alignment horizontal="center" vertical="center" wrapText="1"/>
      <protection/>
    </xf>
    <xf numFmtId="0" fontId="61" fillId="0" borderId="22" xfId="78" applyFont="1" applyBorder="1">
      <alignment/>
      <protection/>
    </xf>
    <xf numFmtId="0" fontId="61" fillId="0" borderId="25" xfId="78" applyFont="1" applyBorder="1">
      <alignment/>
      <protection/>
    </xf>
    <xf numFmtId="0" fontId="61" fillId="0" borderId="23" xfId="78" applyFont="1" applyBorder="1">
      <alignment/>
      <protection/>
    </xf>
    <xf numFmtId="0" fontId="61" fillId="0" borderId="20" xfId="78" applyFont="1" applyBorder="1">
      <alignment/>
      <protection/>
    </xf>
    <xf numFmtId="0" fontId="61" fillId="0" borderId="21" xfId="78" applyFont="1" applyBorder="1">
      <alignment/>
      <protection/>
    </xf>
    <xf numFmtId="0" fontId="42" fillId="0" borderId="27" xfId="78" applyFont="1" applyBorder="1" applyAlignment="1">
      <alignment horizontal="left" vertical="center" wrapText="1"/>
      <protection/>
    </xf>
    <xf numFmtId="0" fontId="42" fillId="0" borderId="22" xfId="78" applyFont="1" applyBorder="1" applyAlignment="1">
      <alignment horizontal="left" vertical="center" wrapText="1"/>
      <protection/>
    </xf>
    <xf numFmtId="0" fontId="42" fillId="0" borderId="74" xfId="78" applyFont="1" applyBorder="1" applyAlignment="1">
      <alignment horizontal="left" vertical="center" wrapText="1"/>
      <protection/>
    </xf>
    <xf numFmtId="0" fontId="42" fillId="0" borderId="75" xfId="78" applyFont="1" applyBorder="1" applyAlignment="1">
      <alignment horizontal="left" vertical="center" wrapText="1"/>
      <protection/>
    </xf>
    <xf numFmtId="0" fontId="42" fillId="0" borderId="25" xfId="78" applyFont="1" applyBorder="1" applyAlignment="1">
      <alignment horizontal="left" vertical="center" wrapText="1"/>
      <protection/>
    </xf>
    <xf numFmtId="0" fontId="42" fillId="0" borderId="20" xfId="78" applyFont="1" applyBorder="1" applyAlignment="1">
      <alignment horizontal="left" vertical="center" wrapText="1"/>
      <protection/>
    </xf>
    <xf numFmtId="0" fontId="61" fillId="0" borderId="27" xfId="78" applyFont="1" applyBorder="1" applyAlignment="1">
      <alignment horizontal="center" vertical="center" wrapText="1"/>
      <protection/>
    </xf>
    <xf numFmtId="0" fontId="61" fillId="0" borderId="21" xfId="78" applyFont="1" applyBorder="1" applyAlignment="1">
      <alignment horizontal="center" vertical="center" wrapText="1"/>
      <protection/>
    </xf>
    <xf numFmtId="0" fontId="61" fillId="0" borderId="22" xfId="78" applyFont="1" applyBorder="1" applyAlignment="1">
      <alignment horizontal="center" vertical="center" wrapText="1"/>
      <protection/>
    </xf>
    <xf numFmtId="0" fontId="61" fillId="0" borderId="74" xfId="78" applyFont="1" applyBorder="1" applyAlignment="1">
      <alignment horizontal="center" vertical="center" wrapText="1"/>
      <protection/>
    </xf>
    <xf numFmtId="0" fontId="61" fillId="0" borderId="0" xfId="78" applyFont="1" applyBorder="1" applyAlignment="1">
      <alignment horizontal="center" vertical="center" wrapText="1"/>
      <protection/>
    </xf>
    <xf numFmtId="0" fontId="61" fillId="0" borderId="75" xfId="78" applyFont="1" applyBorder="1" applyAlignment="1">
      <alignment horizontal="center" vertical="center" wrapText="1"/>
      <protection/>
    </xf>
    <xf numFmtId="0" fontId="61" fillId="0" borderId="25" xfId="78" applyFont="1" applyBorder="1" applyAlignment="1">
      <alignment horizontal="center" vertical="center" wrapText="1"/>
      <protection/>
    </xf>
    <xf numFmtId="0" fontId="61" fillId="0" borderId="23" xfId="78" applyFont="1" applyBorder="1" applyAlignment="1">
      <alignment horizontal="center" vertical="center" wrapText="1"/>
      <protection/>
    </xf>
    <xf numFmtId="0" fontId="61" fillId="0" borderId="20" xfId="78" applyFont="1" applyBorder="1" applyAlignment="1">
      <alignment horizontal="center" vertical="center" wrapText="1"/>
      <protection/>
    </xf>
    <xf numFmtId="0" fontId="61" fillId="0" borderId="24" xfId="78" applyFont="1" applyBorder="1" applyAlignment="1">
      <alignment vertical="center" wrapText="1"/>
      <protection/>
    </xf>
    <xf numFmtId="0" fontId="61" fillId="0" borderId="15" xfId="78" applyFont="1" applyBorder="1" applyAlignment="1">
      <alignment vertical="center" wrapText="1"/>
      <protection/>
    </xf>
    <xf numFmtId="0" fontId="42" fillId="0" borderId="11" xfId="78" applyFont="1" applyBorder="1" applyAlignment="1">
      <alignment horizontal="left" vertical="center" wrapText="1"/>
      <protection/>
    </xf>
    <xf numFmtId="0" fontId="42" fillId="0" borderId="15" xfId="78" applyFont="1" applyBorder="1" applyAlignment="1">
      <alignment horizontal="left" vertical="center" wrapText="1"/>
      <protection/>
    </xf>
    <xf numFmtId="0" fontId="61" fillId="0" borderId="11" xfId="78" applyFont="1" applyBorder="1" applyAlignment="1">
      <alignment horizontal="left" vertical="center" wrapText="1"/>
      <protection/>
    </xf>
    <xf numFmtId="0" fontId="61" fillId="0" borderId="24" xfId="78" applyFont="1" applyBorder="1" applyAlignment="1">
      <alignment horizontal="left" vertical="center" wrapText="1"/>
      <protection/>
    </xf>
    <xf numFmtId="0" fontId="61" fillId="0" borderId="15" xfId="78" applyFont="1" applyBorder="1" applyAlignment="1">
      <alignment horizontal="left" vertical="center" wrapText="1"/>
      <protection/>
    </xf>
    <xf numFmtId="0" fontId="52" fillId="0" borderId="10" xfId="80" applyNumberFormat="1" applyFont="1" applyFill="1" applyBorder="1" applyAlignment="1">
      <alignment horizontal="center" vertical="center" wrapText="1"/>
      <protection/>
    </xf>
    <xf numFmtId="0" fontId="25" fillId="0" borderId="10" xfId="79" applyFont="1" applyBorder="1" applyAlignment="1">
      <alignment horizontal="center"/>
      <protection/>
    </xf>
    <xf numFmtId="0" fontId="25" fillId="0" borderId="0" xfId="80" applyFont="1" applyFill="1" applyBorder="1" applyAlignment="1">
      <alignment horizontal="center" vertical="center" wrapText="1"/>
      <protection/>
    </xf>
    <xf numFmtId="0" fontId="52" fillId="0" borderId="10" xfId="80" applyFont="1" applyFill="1" applyBorder="1" applyAlignment="1">
      <alignment horizontal="center" vertical="center" wrapText="1"/>
      <protection/>
    </xf>
    <xf numFmtId="0" fontId="35" fillId="0" borderId="10" xfId="0" applyFont="1" applyBorder="1" applyAlignment="1">
      <alignment horizontal="center" vertical="center" wrapText="1"/>
    </xf>
    <xf numFmtId="0" fontId="48" fillId="42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48" fillId="4" borderId="25" xfId="0" applyFont="1" applyFill="1" applyBorder="1" applyAlignment="1">
      <alignment horizontal="center" vertical="center"/>
    </xf>
    <xf numFmtId="0" fontId="48" fillId="4" borderId="23" xfId="0" applyFont="1" applyFill="1" applyBorder="1" applyAlignment="1">
      <alignment horizontal="center" vertical="center"/>
    </xf>
    <xf numFmtId="0" fontId="48" fillId="7" borderId="10" xfId="0" applyFont="1" applyFill="1" applyBorder="1" applyAlignment="1">
      <alignment horizontal="center" vertical="center" wrapText="1"/>
    </xf>
    <xf numFmtId="0" fontId="48" fillId="7" borderId="27" xfId="0" applyFont="1" applyFill="1" applyBorder="1" applyAlignment="1">
      <alignment horizontal="center" vertical="center" wrapText="1"/>
    </xf>
    <xf numFmtId="0" fontId="48" fillId="7" borderId="22" xfId="0" applyFont="1" applyFill="1" applyBorder="1" applyAlignment="1">
      <alignment horizontal="center" vertical="center" wrapText="1"/>
    </xf>
    <xf numFmtId="0" fontId="48" fillId="7" borderId="74" xfId="0" applyFont="1" applyFill="1" applyBorder="1" applyAlignment="1">
      <alignment horizontal="center" vertical="center" wrapText="1"/>
    </xf>
    <xf numFmtId="0" fontId="48" fillId="7" borderId="75" xfId="0" applyFont="1" applyFill="1" applyBorder="1" applyAlignment="1">
      <alignment horizontal="center" vertical="center" wrapText="1"/>
    </xf>
    <xf numFmtId="0" fontId="48" fillId="7" borderId="25" xfId="0" applyFont="1" applyFill="1" applyBorder="1" applyAlignment="1">
      <alignment horizontal="center" vertical="center" wrapText="1"/>
    </xf>
    <xf numFmtId="0" fontId="48" fillId="7" borderId="20" xfId="0" applyFont="1" applyFill="1" applyBorder="1" applyAlignment="1">
      <alignment horizontal="center" vertical="center" wrapText="1"/>
    </xf>
    <xf numFmtId="0" fontId="48" fillId="7" borderId="11" xfId="0" applyFont="1" applyFill="1" applyBorder="1" applyAlignment="1">
      <alignment horizontal="center" vertical="center"/>
    </xf>
    <xf numFmtId="0" fontId="48" fillId="7" borderId="24" xfId="0" applyFont="1" applyFill="1" applyBorder="1" applyAlignment="1">
      <alignment horizontal="center" vertical="center"/>
    </xf>
    <xf numFmtId="0" fontId="48" fillId="7" borderId="15" xfId="0" applyFont="1" applyFill="1" applyBorder="1" applyAlignment="1">
      <alignment horizontal="center" vertical="center"/>
    </xf>
    <xf numFmtId="0" fontId="48" fillId="7" borderId="21" xfId="0" applyFont="1" applyFill="1" applyBorder="1" applyAlignment="1">
      <alignment horizontal="center" vertical="center" wrapText="1"/>
    </xf>
    <xf numFmtId="0" fontId="0" fillId="7" borderId="22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75" xfId="0" applyFill="1" applyBorder="1" applyAlignment="1">
      <alignment/>
    </xf>
    <xf numFmtId="0" fontId="0" fillId="7" borderId="25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74" xfId="0" applyFill="1" applyBorder="1" applyAlignment="1">
      <alignment/>
    </xf>
    <xf numFmtId="0" fontId="24" fillId="0" borderId="0" xfId="0" applyFont="1" applyAlignment="1">
      <alignment horizontal="center"/>
    </xf>
    <xf numFmtId="0" fontId="48" fillId="7" borderId="13" xfId="0" applyFont="1" applyFill="1" applyBorder="1" applyAlignment="1">
      <alignment horizontal="center" vertical="center" wrapText="1"/>
    </xf>
    <xf numFmtId="0" fontId="48" fillId="7" borderId="18" xfId="0" applyFont="1" applyFill="1" applyBorder="1" applyAlignment="1">
      <alignment horizontal="center" vertical="center" wrapText="1"/>
    </xf>
    <xf numFmtId="0" fontId="48" fillId="7" borderId="17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48" fillId="46" borderId="1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 horizontal="center"/>
    </xf>
    <xf numFmtId="0" fontId="34" fillId="7" borderId="13" xfId="0" applyFont="1" applyFill="1" applyBorder="1" applyAlignment="1">
      <alignment horizontal="center" vertical="center" wrapText="1"/>
    </xf>
    <xf numFmtId="0" fontId="34" fillId="7" borderId="17" xfId="0" applyFont="1" applyFill="1" applyBorder="1" applyAlignment="1">
      <alignment horizontal="center" vertical="center" wrapText="1"/>
    </xf>
    <xf numFmtId="0" fontId="34" fillId="7" borderId="27" xfId="0" applyFont="1" applyFill="1" applyBorder="1" applyAlignment="1">
      <alignment horizontal="center" vertical="center" wrapText="1"/>
    </xf>
    <xf numFmtId="0" fontId="34" fillId="7" borderId="22" xfId="0" applyFont="1" applyFill="1" applyBorder="1" applyAlignment="1">
      <alignment horizontal="center" vertical="center" wrapText="1"/>
    </xf>
    <xf numFmtId="0" fontId="34" fillId="7" borderId="25" xfId="0" applyFont="1" applyFill="1" applyBorder="1" applyAlignment="1">
      <alignment horizontal="center" vertical="center" wrapText="1"/>
    </xf>
    <xf numFmtId="0" fontId="34" fillId="7" borderId="20" xfId="0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0" fontId="0" fillId="7" borderId="24" xfId="0" applyFill="1" applyBorder="1" applyAlignment="1">
      <alignment/>
    </xf>
    <xf numFmtId="0" fontId="0" fillId="7" borderId="15" xfId="0" applyFill="1" applyBorder="1" applyAlignment="1">
      <alignment/>
    </xf>
    <xf numFmtId="0" fontId="34" fillId="7" borderId="27" xfId="0" applyFont="1" applyFill="1" applyBorder="1" applyAlignment="1">
      <alignment horizontal="center" vertical="center"/>
    </xf>
    <xf numFmtId="0" fontId="34" fillId="7" borderId="21" xfId="0" applyFont="1" applyFill="1" applyBorder="1" applyAlignment="1">
      <alignment horizontal="center" vertical="center"/>
    </xf>
    <xf numFmtId="0" fontId="34" fillId="7" borderId="22" xfId="0" applyFont="1" applyFill="1" applyBorder="1" applyAlignment="1">
      <alignment horizontal="center" vertical="center"/>
    </xf>
    <xf numFmtId="0" fontId="34" fillId="7" borderId="25" xfId="0" applyFont="1" applyFill="1" applyBorder="1" applyAlignment="1">
      <alignment horizontal="center" vertical="center"/>
    </xf>
    <xf numFmtId="0" fontId="34" fillId="7" borderId="23" xfId="0" applyFont="1" applyFill="1" applyBorder="1" applyAlignment="1">
      <alignment horizontal="center" vertical="center"/>
    </xf>
    <xf numFmtId="0" fontId="34" fillId="7" borderId="20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/>
    </xf>
    <xf numFmtId="1" fontId="37" fillId="7" borderId="11" xfId="0" applyNumberFormat="1" applyFont="1" applyFill="1" applyBorder="1" applyAlignment="1">
      <alignment horizontal="center"/>
    </xf>
    <xf numFmtId="1" fontId="37" fillId="7" borderId="24" xfId="0" applyNumberFormat="1" applyFont="1" applyFill="1" applyBorder="1" applyAlignment="1">
      <alignment horizontal="center"/>
    </xf>
    <xf numFmtId="1" fontId="37" fillId="7" borderId="15" xfId="0" applyNumberFormat="1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1" fontId="20" fillId="7" borderId="11" xfId="0" applyNumberFormat="1" applyFont="1" applyFill="1" applyBorder="1" applyAlignment="1">
      <alignment horizontal="center"/>
    </xf>
    <xf numFmtId="1" fontId="20" fillId="7" borderId="24" xfId="0" applyNumberFormat="1" applyFont="1" applyFill="1" applyBorder="1" applyAlignment="1">
      <alignment horizontal="center"/>
    </xf>
    <xf numFmtId="1" fontId="20" fillId="7" borderId="15" xfId="0" applyNumberFormat="1" applyFont="1" applyFill="1" applyBorder="1" applyAlignment="1">
      <alignment horizontal="center"/>
    </xf>
    <xf numFmtId="1" fontId="20" fillId="7" borderId="11" xfId="0" applyNumberFormat="1" applyFont="1" applyFill="1" applyBorder="1" applyAlignment="1">
      <alignment horizontal="center" vertical="center" wrapText="1"/>
    </xf>
    <xf numFmtId="1" fontId="20" fillId="7" borderId="15" xfId="0" applyNumberFormat="1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3 10" xfId="36"/>
    <cellStyle name="Normal 3 11" xfId="37"/>
    <cellStyle name="Normal 3 12" xfId="38"/>
    <cellStyle name="Normal 3 13" xfId="39"/>
    <cellStyle name="Normal 3 14" xfId="40"/>
    <cellStyle name="Normal 3 15" xfId="41"/>
    <cellStyle name="Normal 3 16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TableStyleLight1" xfId="51"/>
    <cellStyle name="TableStyleLight1 2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2 3" xfId="74"/>
    <cellStyle name="Обычный 3" xfId="75"/>
    <cellStyle name="Обычный 3 2" xfId="76"/>
    <cellStyle name="Обычный 4" xfId="77"/>
    <cellStyle name="Обычный 5" xfId="78"/>
    <cellStyle name="Обычный 6" xfId="79"/>
    <cellStyle name="Обычный_Лист1" xfId="80"/>
    <cellStyle name="Плохой" xfId="81"/>
    <cellStyle name="Пояснение" xfId="82"/>
    <cellStyle name="Примечание" xfId="83"/>
    <cellStyle name="Percent" xfId="84"/>
    <cellStyle name="Процентный 2" xfId="85"/>
    <cellStyle name="Процентный 2 2" xfId="86"/>
    <cellStyle name="Процентный 2 3" xfId="87"/>
    <cellStyle name="Процентный 2 4" xfId="88"/>
    <cellStyle name="Процентный 2 5" xfId="89"/>
    <cellStyle name="Процентный 2 6" xfId="90"/>
    <cellStyle name="Связанная ячейка" xfId="91"/>
    <cellStyle name="Текст предупреждения" xfId="92"/>
    <cellStyle name="Comma" xfId="93"/>
    <cellStyle name="Comma [0]" xfId="94"/>
    <cellStyle name="Финансовый [0] 2" xfId="95"/>
    <cellStyle name="Финансовый 2" xfId="96"/>
    <cellStyle name="Финансовый 3" xfId="97"/>
    <cellStyle name="Финансовый 4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8;&#1063;&#1045;&#1058;%20&#1070;&#1050;&#1054;%20&#1085;&#1072;%2004.01.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86;&#1088;&#1084;&#1072;_1%20&#1077;&#1078;&#1077;&#1076;&#1085;&#1077;&#1074;&#1085;&#1086;%20&#1044;&#1077;&#1085;&#1072;%202057-21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23\&#1055;&#1086;&#1090;&#1088;&#1077;&#1073;&#1085;&#1086;&#1089;&#1090;&#1100;%20&#1044;&#1057;&#1052;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Информация "/>
      <sheetName val="Загатов.тех.люди.матр."/>
      <sheetName val="Для Министра"/>
    </sheetNames>
    <sheetDataSet>
      <sheetData sheetId="2">
        <row r="4">
          <cell r="N4">
            <v>40906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2г."/>
      <sheetName val="Лист1"/>
    </sheetNames>
    <sheetDataSet>
      <sheetData sheetId="0">
        <row r="10">
          <cell r="D10">
            <v>28.8</v>
          </cell>
        </row>
        <row r="11">
          <cell r="D11">
            <v>42</v>
          </cell>
        </row>
        <row r="12">
          <cell r="D12">
            <v>41.565</v>
          </cell>
        </row>
        <row r="13">
          <cell r="D13">
            <v>38.8</v>
          </cell>
        </row>
        <row r="15">
          <cell r="D15">
            <v>37.900000000000006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вар"/>
    </sheetNames>
    <sheetDataSet>
      <sheetData sheetId="0">
        <row r="19">
          <cell r="K19">
            <v>55399.240000000005</v>
          </cell>
          <cell r="P19">
            <v>35749.48</v>
          </cell>
        </row>
        <row r="23">
          <cell r="K23">
            <v>7277.75</v>
          </cell>
          <cell r="P23">
            <v>8233</v>
          </cell>
        </row>
        <row r="27">
          <cell r="K27">
            <v>2694</v>
          </cell>
          <cell r="P27">
            <v>4926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="40" zoomScaleNormal="40" zoomScaleSheetLayoutView="25" zoomScalePageLayoutView="0" workbookViewId="0" topLeftCell="A1">
      <pane xSplit="7" ySplit="2" topLeftCell="H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3" sqref="H3:J3"/>
    </sheetView>
  </sheetViews>
  <sheetFormatPr defaultColWidth="16.25390625" defaultRowHeight="12.75"/>
  <cols>
    <col min="1" max="1" width="16.25390625" style="0" customWidth="1"/>
    <col min="2" max="2" width="57.75390625" style="0" customWidth="1"/>
    <col min="3" max="3" width="25.125" style="0" customWidth="1"/>
    <col min="4" max="4" width="21.875" style="0" hidden="1" customWidth="1"/>
    <col min="5" max="5" width="29.00390625" style="0" customWidth="1"/>
    <col min="6" max="6" width="30.625" style="0" hidden="1" customWidth="1"/>
    <col min="7" max="7" width="24.125" style="0" hidden="1" customWidth="1"/>
    <col min="8" max="8" width="20.375" style="0" customWidth="1"/>
    <col min="9" max="9" width="17.00390625" style="0" customWidth="1"/>
    <col min="10" max="10" width="21.00390625" style="0" customWidth="1"/>
    <col min="11" max="11" width="17.75390625" style="0" hidden="1" customWidth="1"/>
    <col min="12" max="12" width="17.375" style="0" hidden="1" customWidth="1"/>
    <col min="13" max="13" width="16.25390625" style="0" hidden="1" customWidth="1"/>
    <col min="14" max="14" width="20.625" style="0" hidden="1" customWidth="1"/>
    <col min="15" max="16" width="16.25390625" style="0" hidden="1" customWidth="1"/>
    <col min="17" max="17" width="19.125" style="0" hidden="1" customWidth="1"/>
    <col min="18" max="19" width="16.25390625" style="0" hidden="1" customWidth="1"/>
    <col min="20" max="20" width="18.875" style="0" hidden="1" customWidth="1"/>
    <col min="21" max="22" width="16.25390625" style="0" hidden="1" customWidth="1"/>
    <col min="23" max="23" width="17.75390625" style="0" hidden="1" customWidth="1"/>
    <col min="24" max="26" width="0" style="0" hidden="1" customWidth="1"/>
  </cols>
  <sheetData>
    <row r="1" spans="1:25" ht="33.75">
      <c r="A1" s="695" t="s">
        <v>0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</row>
    <row r="2" spans="1:25" ht="35.25">
      <c r="A2" s="696" t="s">
        <v>1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6"/>
      <c r="U2" s="696"/>
      <c r="V2" s="696"/>
      <c r="W2" s="696"/>
      <c r="X2" s="696"/>
      <c r="Y2" s="696"/>
    </row>
    <row r="3" spans="1:25" ht="29.25" customHeight="1">
      <c r="A3" s="1"/>
      <c r="B3" s="1"/>
      <c r="C3" s="1"/>
      <c r="D3" s="1"/>
      <c r="E3" s="1"/>
      <c r="F3" s="1"/>
      <c r="G3" s="1"/>
      <c r="H3" s="693">
        <v>40959</v>
      </c>
      <c r="I3" s="694"/>
      <c r="J3" s="694"/>
      <c r="K3" s="402"/>
      <c r="L3" s="403" t="s">
        <v>2</v>
      </c>
      <c r="M3" s="697">
        <f>'[1]Загатов.тех.люди.матр.'!N4</f>
        <v>40906</v>
      </c>
      <c r="N3" s="698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</row>
    <row r="4" spans="1:28" ht="48.75" customHeight="1">
      <c r="A4" s="699" t="s">
        <v>3</v>
      </c>
      <c r="B4" s="699" t="s">
        <v>4</v>
      </c>
      <c r="C4" s="702" t="s">
        <v>5</v>
      </c>
      <c r="D4" s="703" t="s">
        <v>6</v>
      </c>
      <c r="E4" s="704" t="s">
        <v>261</v>
      </c>
      <c r="F4" s="703" t="s">
        <v>7</v>
      </c>
      <c r="G4" s="707" t="s">
        <v>8</v>
      </c>
      <c r="H4" s="702" t="s">
        <v>9</v>
      </c>
      <c r="I4" s="702"/>
      <c r="J4" s="702"/>
      <c r="K4" s="702"/>
      <c r="L4" s="702"/>
      <c r="M4" s="702"/>
      <c r="N4" s="702"/>
      <c r="O4" s="702"/>
      <c r="P4" s="702"/>
      <c r="Q4" s="702"/>
      <c r="R4" s="702"/>
      <c r="S4" s="702"/>
      <c r="T4" s="702"/>
      <c r="U4" s="702"/>
      <c r="V4" s="702"/>
      <c r="W4" s="702"/>
      <c r="X4" s="702"/>
      <c r="Y4" s="702"/>
      <c r="Z4" s="2"/>
      <c r="AA4" s="2"/>
      <c r="AB4" s="2"/>
    </row>
    <row r="5" spans="1:29" ht="55.5" customHeight="1">
      <c r="A5" s="700"/>
      <c r="B5" s="700"/>
      <c r="C5" s="702"/>
      <c r="D5" s="703"/>
      <c r="E5" s="705"/>
      <c r="F5" s="703"/>
      <c r="G5" s="707"/>
      <c r="H5" s="702" t="s">
        <v>10</v>
      </c>
      <c r="I5" s="702"/>
      <c r="J5" s="702"/>
      <c r="K5" s="702" t="s">
        <v>11</v>
      </c>
      <c r="L5" s="702"/>
      <c r="M5" s="702"/>
      <c r="N5" s="702" t="s">
        <v>12</v>
      </c>
      <c r="O5" s="702"/>
      <c r="P5" s="702"/>
      <c r="Q5" s="702" t="s">
        <v>13</v>
      </c>
      <c r="R5" s="702"/>
      <c r="S5" s="702"/>
      <c r="T5" s="702" t="s">
        <v>14</v>
      </c>
      <c r="U5" s="702"/>
      <c r="V5" s="702"/>
      <c r="W5" s="702" t="s">
        <v>15</v>
      </c>
      <c r="X5" s="702"/>
      <c r="Y5" s="702"/>
      <c r="Z5" s="3"/>
      <c r="AA5" s="3"/>
      <c r="AB5" s="3"/>
      <c r="AC5" s="3"/>
    </row>
    <row r="6" spans="1:25" ht="3" customHeight="1">
      <c r="A6" s="700"/>
      <c r="B6" s="700"/>
      <c r="C6" s="702"/>
      <c r="D6" s="703"/>
      <c r="E6" s="705"/>
      <c r="F6" s="703"/>
      <c r="G6" s="707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702"/>
      <c r="T6" s="702"/>
      <c r="U6" s="702"/>
      <c r="V6" s="702"/>
      <c r="W6" s="702"/>
      <c r="X6" s="702"/>
      <c r="Y6" s="702"/>
    </row>
    <row r="7" spans="1:25" ht="90.75" customHeight="1">
      <c r="A7" s="701"/>
      <c r="B7" s="701"/>
      <c r="C7" s="702"/>
      <c r="D7" s="703"/>
      <c r="E7" s="706"/>
      <c r="F7" s="703"/>
      <c r="G7" s="703"/>
      <c r="H7" s="4" t="s">
        <v>6</v>
      </c>
      <c r="I7" s="5" t="s">
        <v>16</v>
      </c>
      <c r="J7" s="6" t="s">
        <v>17</v>
      </c>
      <c r="K7" s="6" t="s">
        <v>6</v>
      </c>
      <c r="L7" s="5" t="s">
        <v>16</v>
      </c>
      <c r="M7" s="6" t="s">
        <v>17</v>
      </c>
      <c r="N7" s="6" t="s">
        <v>6</v>
      </c>
      <c r="O7" s="5" t="s">
        <v>16</v>
      </c>
      <c r="P7" s="6" t="s">
        <v>17</v>
      </c>
      <c r="Q7" s="6" t="s">
        <v>6</v>
      </c>
      <c r="R7" s="5" t="s">
        <v>16</v>
      </c>
      <c r="S7" s="6" t="s">
        <v>17</v>
      </c>
      <c r="T7" s="5" t="s">
        <v>6</v>
      </c>
      <c r="U7" s="5" t="s">
        <v>16</v>
      </c>
      <c r="V7" s="6" t="s">
        <v>17</v>
      </c>
      <c r="W7" s="5" t="s">
        <v>6</v>
      </c>
      <c r="X7" s="5" t="s">
        <v>16</v>
      </c>
      <c r="Y7" s="7" t="s">
        <v>17</v>
      </c>
    </row>
    <row r="8" spans="1:25" ht="36.75" customHeight="1">
      <c r="A8" s="709" t="s">
        <v>18</v>
      </c>
      <c r="B8" s="709"/>
      <c r="C8" s="8" t="s">
        <v>19</v>
      </c>
      <c r="D8" s="9">
        <f>H8+K8+N8+Q8+T8+W8</f>
        <v>224.1</v>
      </c>
      <c r="E8" s="254"/>
      <c r="F8" s="10"/>
      <c r="G8" s="10"/>
      <c r="H8" s="708">
        <v>57</v>
      </c>
      <c r="I8" s="708"/>
      <c r="J8" s="708"/>
      <c r="K8" s="708">
        <v>24</v>
      </c>
      <c r="L8" s="708"/>
      <c r="M8" s="708"/>
      <c r="N8" s="708">
        <v>48</v>
      </c>
      <c r="O8" s="708"/>
      <c r="P8" s="708"/>
      <c r="Q8" s="708">
        <v>34</v>
      </c>
      <c r="R8" s="708"/>
      <c r="S8" s="708"/>
      <c r="T8" s="708">
        <v>24.6</v>
      </c>
      <c r="U8" s="708"/>
      <c r="V8" s="708"/>
      <c r="W8" s="708">
        <v>36.5</v>
      </c>
      <c r="X8" s="708"/>
      <c r="Y8" s="708"/>
    </row>
    <row r="9" spans="1:25" ht="67.5" customHeight="1">
      <c r="A9" s="11">
        <v>1</v>
      </c>
      <c r="B9" s="12" t="s">
        <v>20</v>
      </c>
      <c r="C9" s="13" t="s">
        <v>19</v>
      </c>
      <c r="D9" s="9"/>
      <c r="E9" s="254">
        <v>57.6</v>
      </c>
      <c r="F9" s="14"/>
      <c r="G9" s="15"/>
      <c r="H9" s="36">
        <v>57.6</v>
      </c>
      <c r="I9" s="16">
        <v>0</v>
      </c>
      <c r="J9" s="393">
        <v>0</v>
      </c>
      <c r="K9" s="18"/>
      <c r="L9" s="19"/>
      <c r="M9" s="20"/>
      <c r="N9" s="21"/>
      <c r="O9" s="22"/>
      <c r="P9" s="23"/>
      <c r="Q9" s="21"/>
      <c r="R9" s="16"/>
      <c r="S9" s="24"/>
      <c r="T9" s="16"/>
      <c r="U9" s="16"/>
      <c r="V9" s="24"/>
      <c r="W9" s="19"/>
      <c r="X9" s="19"/>
      <c r="Y9" s="25"/>
    </row>
    <row r="10" spans="1:25" ht="90.75" customHeight="1">
      <c r="A10" s="26">
        <v>2</v>
      </c>
      <c r="B10" s="12" t="s">
        <v>21</v>
      </c>
      <c r="C10" s="13" t="s">
        <v>19</v>
      </c>
      <c r="D10" s="9"/>
      <c r="E10" s="255">
        <v>0</v>
      </c>
      <c r="F10" s="14"/>
      <c r="G10" s="15"/>
      <c r="H10" s="513">
        <v>2.7</v>
      </c>
      <c r="I10" s="67">
        <v>2.7</v>
      </c>
      <c r="J10" s="394">
        <v>0</v>
      </c>
      <c r="K10" s="18"/>
      <c r="L10" s="19"/>
      <c r="M10" s="27"/>
      <c r="N10" s="28"/>
      <c r="O10" s="19"/>
      <c r="P10" s="29"/>
      <c r="Q10" s="21"/>
      <c r="R10" s="16"/>
      <c r="S10" s="17"/>
      <c r="T10" s="16"/>
      <c r="U10" s="16"/>
      <c r="V10" s="24"/>
      <c r="W10" s="19"/>
      <c r="X10" s="19"/>
      <c r="Y10" s="27"/>
    </row>
    <row r="11" spans="1:25" ht="104.25" customHeight="1">
      <c r="A11" s="392">
        <v>3</v>
      </c>
      <c r="B11" s="12" t="s">
        <v>22</v>
      </c>
      <c r="C11" s="13" t="s">
        <v>23</v>
      </c>
      <c r="D11" s="14"/>
      <c r="E11" s="255">
        <v>39</v>
      </c>
      <c r="F11" s="14"/>
      <c r="G11" s="30"/>
      <c r="H11" s="31">
        <v>79</v>
      </c>
      <c r="I11" s="512">
        <v>40</v>
      </c>
      <c r="J11" s="393">
        <v>0</v>
      </c>
      <c r="K11" s="18"/>
      <c r="L11" s="19"/>
      <c r="M11" s="27"/>
      <c r="N11" s="28"/>
      <c r="O11" s="19"/>
      <c r="P11" s="32"/>
      <c r="Q11" s="33"/>
      <c r="R11" s="16"/>
      <c r="S11" s="17"/>
      <c r="T11" s="16"/>
      <c r="U11" s="16"/>
      <c r="V11" s="24"/>
      <c r="W11" s="19"/>
      <c r="X11" s="19"/>
      <c r="Y11" s="27"/>
    </row>
    <row r="12" spans="1:25" ht="97.5" customHeight="1">
      <c r="A12" s="26">
        <v>4</v>
      </c>
      <c r="B12" s="12" t="s">
        <v>24</v>
      </c>
      <c r="C12" s="13" t="s">
        <v>25</v>
      </c>
      <c r="D12" s="9"/>
      <c r="E12" s="254">
        <v>1491.08747</v>
      </c>
      <c r="F12" s="14"/>
      <c r="G12" s="34"/>
      <c r="H12" s="35">
        <v>2782</v>
      </c>
      <c r="I12" s="67">
        <v>1290.91253</v>
      </c>
      <c r="J12" s="514">
        <f>'Выполнение '!K14</f>
        <v>136.00599999999997</v>
      </c>
      <c r="K12" s="37"/>
      <c r="L12" s="38"/>
      <c r="M12" s="24"/>
      <c r="N12" s="18"/>
      <c r="O12" s="38"/>
      <c r="P12" s="39"/>
      <c r="Q12" s="36"/>
      <c r="R12" s="36"/>
      <c r="S12" s="40"/>
      <c r="T12" s="36"/>
      <c r="U12" s="16"/>
      <c r="V12" s="24"/>
      <c r="W12" s="38"/>
      <c r="X12" s="19"/>
      <c r="Y12" s="24"/>
    </row>
    <row r="13" spans="1:25" ht="75.75" customHeight="1">
      <c r="A13" s="392">
        <v>5</v>
      </c>
      <c r="B13" s="12" t="s">
        <v>26</v>
      </c>
      <c r="C13" s="13" t="s">
        <v>354</v>
      </c>
      <c r="D13" s="9"/>
      <c r="E13" s="254">
        <v>658.1500000000001</v>
      </c>
      <c r="F13" s="14"/>
      <c r="G13" s="41"/>
      <c r="H13" s="36">
        <v>1950.16</v>
      </c>
      <c r="I13" s="67">
        <v>1292.01</v>
      </c>
      <c r="J13" s="395">
        <v>0</v>
      </c>
      <c r="K13" s="36"/>
      <c r="L13" s="43"/>
      <c r="M13" s="42"/>
      <c r="N13" s="36"/>
      <c r="O13" s="44"/>
      <c r="P13" s="45"/>
      <c r="Q13" s="46"/>
      <c r="S13" s="47"/>
      <c r="T13" s="16"/>
      <c r="U13" s="16"/>
      <c r="V13" s="42"/>
      <c r="W13" s="43"/>
      <c r="X13" s="19"/>
      <c r="Y13" s="42"/>
    </row>
    <row r="14" spans="1:28" s="57" customFormat="1" ht="108" customHeight="1">
      <c r="A14" s="26">
        <v>6</v>
      </c>
      <c r="B14" s="48" t="s">
        <v>27</v>
      </c>
      <c r="C14" s="49" t="s">
        <v>19</v>
      </c>
      <c r="D14" s="50"/>
      <c r="E14" s="254">
        <v>19.7</v>
      </c>
      <c r="F14" s="51"/>
      <c r="G14" s="41"/>
      <c r="H14" s="516">
        <v>57.6</v>
      </c>
      <c r="I14" s="67">
        <v>37.900000000000006</v>
      </c>
      <c r="J14" s="396">
        <v>0</v>
      </c>
      <c r="K14" s="54"/>
      <c r="L14" s="52"/>
      <c r="M14" s="45"/>
      <c r="N14" s="52"/>
      <c r="O14" s="55"/>
      <c r="P14" s="45"/>
      <c r="Q14" s="46"/>
      <c r="R14" s="52"/>
      <c r="S14" s="53"/>
      <c r="T14" s="52"/>
      <c r="U14" s="52"/>
      <c r="V14" s="53"/>
      <c r="W14" s="52"/>
      <c r="X14" s="56"/>
      <c r="Y14" s="45"/>
      <c r="AB14"/>
    </row>
    <row r="15" spans="1:28" s="57" customFormat="1" ht="83.25" customHeight="1">
      <c r="A15" s="392">
        <v>7</v>
      </c>
      <c r="B15" s="48" t="s">
        <v>355</v>
      </c>
      <c r="C15" s="49" t="s">
        <v>19</v>
      </c>
      <c r="D15" s="50"/>
      <c r="E15" s="254">
        <v>18.8</v>
      </c>
      <c r="F15" s="51"/>
      <c r="G15" s="41"/>
      <c r="H15" s="516">
        <v>57.6</v>
      </c>
      <c r="I15" s="67">
        <v>38.8</v>
      </c>
      <c r="J15" s="396">
        <v>0</v>
      </c>
      <c r="K15" s="54"/>
      <c r="L15" s="52"/>
      <c r="M15" s="45"/>
      <c r="N15" s="52"/>
      <c r="O15" s="55"/>
      <c r="P15" s="45"/>
      <c r="Q15" s="46"/>
      <c r="R15" s="52"/>
      <c r="S15" s="53"/>
      <c r="T15" s="52"/>
      <c r="U15" s="52"/>
      <c r="V15" s="53"/>
      <c r="W15" s="52"/>
      <c r="X15" s="56"/>
      <c r="Y15" s="45"/>
      <c r="AB15"/>
    </row>
    <row r="16" spans="1:25" ht="90.75" customHeight="1">
      <c r="A16" s="26">
        <v>8</v>
      </c>
      <c r="B16" s="12" t="s">
        <v>374</v>
      </c>
      <c r="C16" s="13" t="s">
        <v>19</v>
      </c>
      <c r="D16" s="9"/>
      <c r="E16" s="254">
        <v>16.04</v>
      </c>
      <c r="F16" s="14"/>
      <c r="G16" s="41"/>
      <c r="H16" s="516">
        <v>57.6</v>
      </c>
      <c r="I16" s="67">
        <v>41.565</v>
      </c>
      <c r="J16" s="396">
        <v>0</v>
      </c>
      <c r="K16" s="18"/>
      <c r="L16" s="16"/>
      <c r="M16" s="59"/>
      <c r="N16" s="14"/>
      <c r="O16" s="60"/>
      <c r="P16" s="41"/>
      <c r="Q16" s="61"/>
      <c r="R16" s="16"/>
      <c r="S16" s="58"/>
      <c r="T16" s="16"/>
      <c r="U16" s="16"/>
      <c r="V16" s="58"/>
      <c r="W16" s="16"/>
      <c r="X16" s="19"/>
      <c r="Y16" s="59"/>
    </row>
    <row r="17" spans="1:25" ht="93" customHeight="1">
      <c r="A17" s="392">
        <v>9</v>
      </c>
      <c r="B17" s="12" t="s">
        <v>28</v>
      </c>
      <c r="C17" s="13" t="s">
        <v>19</v>
      </c>
      <c r="D17" s="9"/>
      <c r="E17" s="254">
        <v>15.6</v>
      </c>
      <c r="F17" s="14"/>
      <c r="G17" s="41"/>
      <c r="H17" s="516">
        <v>57.6</v>
      </c>
      <c r="I17" s="67">
        <v>42</v>
      </c>
      <c r="J17" s="396">
        <v>0</v>
      </c>
      <c r="K17" s="18"/>
      <c r="L17" s="16"/>
      <c r="M17" s="42"/>
      <c r="N17" s="16"/>
      <c r="O17" s="60"/>
      <c r="P17" s="45"/>
      <c r="Q17" s="46"/>
      <c r="R17" s="16"/>
      <c r="S17" s="58"/>
      <c r="T17" s="16"/>
      <c r="U17" s="16"/>
      <c r="V17" s="58"/>
      <c r="W17" s="16"/>
      <c r="X17" s="19"/>
      <c r="Y17" s="42"/>
    </row>
    <row r="18" spans="1:25" ht="93" customHeight="1">
      <c r="A18" s="392">
        <v>10</v>
      </c>
      <c r="B18" s="12" t="s">
        <v>375</v>
      </c>
      <c r="C18" s="13" t="s">
        <v>19</v>
      </c>
      <c r="D18" s="9"/>
      <c r="E18" s="254">
        <v>0</v>
      </c>
      <c r="F18" s="14"/>
      <c r="G18" s="41"/>
      <c r="H18" s="516">
        <v>57.6</v>
      </c>
      <c r="I18" s="67">
        <v>28.8</v>
      </c>
      <c r="J18" s="396">
        <v>0</v>
      </c>
      <c r="K18" s="18"/>
      <c r="L18" s="16"/>
      <c r="M18" s="42"/>
      <c r="N18" s="16"/>
      <c r="O18" s="60"/>
      <c r="P18" s="45"/>
      <c r="Q18" s="46"/>
      <c r="R18" s="16"/>
      <c r="S18" s="58"/>
      <c r="T18" s="16"/>
      <c r="U18" s="16"/>
      <c r="V18" s="58"/>
      <c r="W18" s="16"/>
      <c r="X18" s="19"/>
      <c r="Y18" s="42"/>
    </row>
    <row r="19" spans="1:25" ht="77.25" customHeight="1">
      <c r="A19" s="26">
        <v>10</v>
      </c>
      <c r="B19" s="12" t="s">
        <v>29</v>
      </c>
      <c r="C19" s="13" t="s">
        <v>23</v>
      </c>
      <c r="D19" s="14"/>
      <c r="E19" s="255">
        <v>0</v>
      </c>
      <c r="F19" s="14"/>
      <c r="G19" s="15"/>
      <c r="H19" s="31">
        <v>10</v>
      </c>
      <c r="I19" s="512">
        <v>10</v>
      </c>
      <c r="J19" s="394">
        <v>0</v>
      </c>
      <c r="K19" s="18"/>
      <c r="L19" s="16"/>
      <c r="M19" s="39"/>
      <c r="N19" s="16"/>
      <c r="O19" s="60"/>
      <c r="P19" s="39"/>
      <c r="Q19" s="16"/>
      <c r="R19" s="16"/>
      <c r="S19" s="58"/>
      <c r="T19" s="16"/>
      <c r="U19" s="16"/>
      <c r="V19" s="24"/>
      <c r="W19" s="16"/>
      <c r="X19" s="19"/>
      <c r="Y19" s="39"/>
    </row>
    <row r="20" spans="1:25" ht="67.5" customHeight="1">
      <c r="A20" s="392">
        <v>11</v>
      </c>
      <c r="B20" s="62" t="s">
        <v>30</v>
      </c>
      <c r="C20" s="13" t="s">
        <v>25</v>
      </c>
      <c r="D20" s="9"/>
      <c r="E20" s="254">
        <v>144.6971</v>
      </c>
      <c r="F20" s="63"/>
      <c r="G20" s="15"/>
      <c r="H20" s="64">
        <v>510.18</v>
      </c>
      <c r="I20" s="517">
        <v>365.4829</v>
      </c>
      <c r="J20" s="515">
        <f>'ДСМ за день'!J9</f>
        <v>322.02772</v>
      </c>
      <c r="K20" s="31"/>
      <c r="L20" s="16"/>
      <c r="M20" s="66"/>
      <c r="N20" s="67"/>
      <c r="O20" s="68"/>
      <c r="P20" s="66"/>
      <c r="Q20" s="69"/>
      <c r="R20" s="36"/>
      <c r="S20" s="24"/>
      <c r="T20" s="31"/>
      <c r="U20" s="35"/>
      <c r="V20" s="70"/>
      <c r="W20" s="16"/>
      <c r="X20" s="19"/>
      <c r="Y20" s="71"/>
    </row>
    <row r="21" spans="1:25" ht="90" customHeight="1">
      <c r="A21" s="26">
        <v>12</v>
      </c>
      <c r="B21" s="62" t="s">
        <v>31</v>
      </c>
      <c r="C21" s="13" t="s">
        <v>25</v>
      </c>
      <c r="D21" s="9"/>
      <c r="E21" s="518">
        <v>138.40212</v>
      </c>
      <c r="F21" s="63"/>
      <c r="G21" s="15"/>
      <c r="H21" s="64">
        <v>536.20196</v>
      </c>
      <c r="I21" s="517">
        <v>376.4748</v>
      </c>
      <c r="J21" s="515">
        <f>'ДСМ за день'!D9</f>
        <v>309.6375</v>
      </c>
      <c r="K21" s="31"/>
      <c r="L21" s="16"/>
      <c r="M21" s="72"/>
      <c r="N21" s="73"/>
      <c r="O21" s="68"/>
      <c r="P21" s="72"/>
      <c r="Q21" s="74"/>
      <c r="R21" s="36"/>
      <c r="S21" s="24"/>
      <c r="T21" s="35"/>
      <c r="U21" s="31"/>
      <c r="V21" s="70"/>
      <c r="W21" s="36"/>
      <c r="X21" s="19"/>
      <c r="Y21" s="71"/>
    </row>
    <row r="22" spans="1:25" ht="90" customHeight="1">
      <c r="A22" s="392">
        <v>13</v>
      </c>
      <c r="B22" s="62" t="s">
        <v>32</v>
      </c>
      <c r="C22" s="13" t="s">
        <v>25</v>
      </c>
      <c r="D22" s="9"/>
      <c r="E22" s="254">
        <v>0</v>
      </c>
      <c r="F22" s="63"/>
      <c r="G22" s="15"/>
      <c r="H22" s="64">
        <v>0</v>
      </c>
      <c r="I22" s="65">
        <v>0</v>
      </c>
      <c r="J22" s="397">
        <v>0</v>
      </c>
      <c r="K22" s="31"/>
      <c r="L22" s="16"/>
      <c r="M22" s="72"/>
      <c r="N22" s="73"/>
      <c r="O22" s="68"/>
      <c r="P22" s="72"/>
      <c r="Q22" s="74"/>
      <c r="R22" s="36"/>
      <c r="S22" s="24"/>
      <c r="T22" s="35"/>
      <c r="U22" s="31"/>
      <c r="V22" s="70"/>
      <c r="W22" s="36"/>
      <c r="X22" s="19"/>
      <c r="Y22" s="71"/>
    </row>
    <row r="23" spans="1:25" ht="90" customHeight="1">
      <c r="A23" s="26">
        <v>14</v>
      </c>
      <c r="B23" s="62" t="s">
        <v>33</v>
      </c>
      <c r="C23" s="13" t="s">
        <v>25</v>
      </c>
      <c r="D23" s="9"/>
      <c r="E23" s="254">
        <v>1.3943</v>
      </c>
      <c r="F23" s="63"/>
      <c r="G23" s="15"/>
      <c r="H23" s="64">
        <v>15.963</v>
      </c>
      <c r="I23" s="519">
        <v>14.5687</v>
      </c>
      <c r="J23" s="397">
        <f>'ДСМ за день'!P9</f>
        <v>6</v>
      </c>
      <c r="K23" s="31"/>
      <c r="L23" s="16"/>
      <c r="M23" s="72"/>
      <c r="N23" s="73"/>
      <c r="O23" s="68"/>
      <c r="P23" s="72"/>
      <c r="Q23" s="74"/>
      <c r="R23" s="36"/>
      <c r="S23" s="24"/>
      <c r="T23" s="35"/>
      <c r="U23" s="31"/>
      <c r="V23" s="70"/>
      <c r="W23" s="36"/>
      <c r="X23" s="19"/>
      <c r="Y23" s="71"/>
    </row>
    <row r="24" spans="1:25" ht="26.25" customHeight="1">
      <c r="A24" s="75"/>
      <c r="B24" s="691" t="s">
        <v>381</v>
      </c>
      <c r="C24" s="691"/>
      <c r="D24" s="691"/>
      <c r="E24" s="691"/>
      <c r="F24" s="691"/>
      <c r="G24" s="691"/>
      <c r="H24" s="691"/>
      <c r="I24" s="691"/>
      <c r="J24" s="691"/>
      <c r="K24" s="691"/>
      <c r="L24" s="691"/>
      <c r="M24" s="691"/>
      <c r="N24" s="691"/>
      <c r="O24" s="691"/>
      <c r="P24" s="691"/>
      <c r="Q24" s="691"/>
      <c r="R24" s="691"/>
      <c r="S24" s="691"/>
      <c r="T24" s="691"/>
      <c r="U24" s="75"/>
      <c r="V24" s="75"/>
      <c r="W24" s="75"/>
      <c r="X24" s="75"/>
      <c r="Y24" s="75"/>
    </row>
    <row r="25" spans="1:24" ht="26.25" customHeight="1">
      <c r="A25" s="75"/>
      <c r="B25" s="692"/>
      <c r="C25" s="692"/>
      <c r="D25" s="692"/>
      <c r="E25" s="692"/>
      <c r="F25" s="692"/>
      <c r="G25" s="692"/>
      <c r="H25" s="692"/>
      <c r="I25" s="692"/>
      <c r="J25" s="692"/>
      <c r="K25" s="692"/>
      <c r="L25" s="692"/>
      <c r="M25" s="692"/>
      <c r="N25" s="692"/>
      <c r="O25" s="692"/>
      <c r="P25" s="692"/>
      <c r="Q25" s="692"/>
      <c r="R25" s="692"/>
      <c r="S25" s="692"/>
      <c r="T25" s="692"/>
      <c r="U25" s="75"/>
      <c r="V25" s="75"/>
      <c r="W25" s="75"/>
      <c r="X25" s="75"/>
    </row>
    <row r="26" spans="7:8" ht="12.75">
      <c r="G26" s="76"/>
      <c r="H26" s="76"/>
    </row>
    <row r="28" spans="4:5" ht="12.75">
      <c r="D28" s="76"/>
      <c r="E28" s="76"/>
    </row>
    <row r="29" spans="7:8" ht="12.75">
      <c r="G29" s="76"/>
      <c r="H29" s="76"/>
    </row>
    <row r="30" ht="12.75">
      <c r="F30" s="77"/>
    </row>
    <row r="37" ht="12.75">
      <c r="F37" s="76"/>
    </row>
  </sheetData>
  <sheetProtection selectLockedCells="1" selectUnlockedCells="1"/>
  <mergeCells count="26">
    <mergeCell ref="Q5:S6"/>
    <mergeCell ref="T5:V6"/>
    <mergeCell ref="W5:Y6"/>
    <mergeCell ref="W8:Y8"/>
    <mergeCell ref="A8:B8"/>
    <mergeCell ref="H8:J8"/>
    <mergeCell ref="K8:M8"/>
    <mergeCell ref="N8:P8"/>
    <mergeCell ref="Q8:S8"/>
    <mergeCell ref="T8:V8"/>
    <mergeCell ref="B24:T25"/>
    <mergeCell ref="H3:J3"/>
    <mergeCell ref="A1:Y1"/>
    <mergeCell ref="A2:Y2"/>
    <mergeCell ref="M3:N3"/>
    <mergeCell ref="A4:A7"/>
    <mergeCell ref="B4:B7"/>
    <mergeCell ref="C4:C7"/>
    <mergeCell ref="D4:D7"/>
    <mergeCell ref="E4:E7"/>
    <mergeCell ref="F4:F7"/>
    <mergeCell ref="G4:G7"/>
    <mergeCell ref="H4:Y4"/>
    <mergeCell ref="H5:J6"/>
    <mergeCell ref="K5:M6"/>
    <mergeCell ref="N5:P6"/>
  </mergeCells>
  <printOptions/>
  <pageMargins left="0.15748031496062992" right="0.1968503937007874" top="0.5118110236220472" bottom="0.4724409448818898" header="0.31496062992125984" footer="0.2362204724409449"/>
  <pageSetup horizontalDpi="300" verticalDpi="300" orientation="landscape" paperSize="9" scale="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19.75390625" style="0" customWidth="1"/>
    <col min="2" max="2" width="13.25390625" style="0" customWidth="1"/>
    <col min="3" max="6" width="19.75390625" style="0" customWidth="1"/>
    <col min="7" max="8" width="9.125" style="522" customWidth="1"/>
  </cols>
  <sheetData>
    <row r="1" spans="1:6" ht="18">
      <c r="A1" s="1021" t="s">
        <v>341</v>
      </c>
      <c r="B1" s="1022" t="s">
        <v>342</v>
      </c>
      <c r="C1" s="1022"/>
      <c r="D1" s="1022"/>
      <c r="E1" s="1022"/>
      <c r="F1" s="1022"/>
    </row>
    <row r="2" spans="1:6" ht="74.25" customHeight="1">
      <c r="A2" s="1021"/>
      <c r="B2" s="389" t="s">
        <v>132</v>
      </c>
      <c r="C2" s="390" t="s">
        <v>131</v>
      </c>
      <c r="D2" s="390" t="s">
        <v>7</v>
      </c>
      <c r="E2" s="390" t="s">
        <v>352</v>
      </c>
      <c r="F2" s="390" t="s">
        <v>353</v>
      </c>
    </row>
    <row r="3" spans="1:8" ht="56.25" customHeight="1">
      <c r="A3" s="387" t="s">
        <v>343</v>
      </c>
      <c r="B3" s="388" t="s">
        <v>25</v>
      </c>
      <c r="C3" s="521">
        <v>536.20196</v>
      </c>
      <c r="D3" s="520">
        <v>376.4748</v>
      </c>
      <c r="E3" s="520">
        <f>303.4375+0.2+0.35+0.2+0.3+0.25+0.2+0.3+0.2+0.5+0.5+1.2+1.5+0.5</f>
        <v>309.6375</v>
      </c>
      <c r="F3" s="520">
        <v>0</v>
      </c>
      <c r="H3" s="523">
        <f>0.2+0.35+0.2+0.3+0.25+0.2+0.3</f>
        <v>1.8</v>
      </c>
    </row>
    <row r="4" spans="1:8" ht="20.25">
      <c r="A4" s="386" t="s">
        <v>344</v>
      </c>
      <c r="B4" s="135" t="s">
        <v>25</v>
      </c>
      <c r="C4" s="131">
        <v>55.9724</v>
      </c>
      <c r="D4" s="132">
        <v>38.4156</v>
      </c>
      <c r="E4" s="132">
        <f>31.4687+0.3+0.1</f>
        <v>31.8687</v>
      </c>
      <c r="F4" s="132">
        <v>0</v>
      </c>
      <c r="G4" s="688">
        <f>0.3+0.1</f>
        <v>0.4</v>
      </c>
      <c r="H4" s="523"/>
    </row>
    <row r="5" spans="1:7" ht="20.25">
      <c r="A5" s="386" t="s">
        <v>345</v>
      </c>
      <c r="B5" s="135" t="s">
        <v>25</v>
      </c>
      <c r="C5" s="131">
        <v>111.9448</v>
      </c>
      <c r="D5" s="132">
        <v>76.8312</v>
      </c>
      <c r="E5" s="132">
        <f>62.9374+0.3+0.1+1.5+0.5</f>
        <v>65.3374</v>
      </c>
      <c r="F5" s="132">
        <v>0</v>
      </c>
      <c r="G5" s="688">
        <f>0.3+0.1</f>
        <v>0.4</v>
      </c>
    </row>
    <row r="6" spans="1:7" ht="20.25">
      <c r="A6" s="386" t="s">
        <v>346</v>
      </c>
      <c r="B6" s="135" t="s">
        <v>25</v>
      </c>
      <c r="C6" s="131">
        <v>10.47996</v>
      </c>
      <c r="D6" s="132">
        <v>5.23998</v>
      </c>
      <c r="E6" s="132">
        <v>5.92776</v>
      </c>
      <c r="F6" s="132">
        <v>0</v>
      </c>
      <c r="G6" s="688"/>
    </row>
    <row r="7" spans="1:7" ht="20.25">
      <c r="A7" s="386" t="s">
        <v>347</v>
      </c>
      <c r="B7" s="135" t="s">
        <v>25</v>
      </c>
      <c r="C7" s="131">
        <v>66.5373</v>
      </c>
      <c r="D7" s="132">
        <v>50.36895</v>
      </c>
      <c r="E7" s="132">
        <f>37.91775+0.3</f>
        <v>38.217749999999995</v>
      </c>
      <c r="F7" s="132">
        <v>0</v>
      </c>
      <c r="G7" s="688">
        <v>0.3</v>
      </c>
    </row>
    <row r="8" spans="1:7" ht="20.25">
      <c r="A8" s="386" t="s">
        <v>348</v>
      </c>
      <c r="B8" s="135" t="s">
        <v>25</v>
      </c>
      <c r="C8" s="131">
        <v>18.63104</v>
      </c>
      <c r="D8" s="132">
        <v>9.31552</v>
      </c>
      <c r="E8" s="132">
        <v>10.53824</v>
      </c>
      <c r="F8" s="132">
        <v>0</v>
      </c>
      <c r="G8" s="688"/>
    </row>
    <row r="9" spans="1:8" ht="20.25">
      <c r="A9" s="386" t="s">
        <v>349</v>
      </c>
      <c r="B9" s="135" t="s">
        <v>25</v>
      </c>
      <c r="C9" s="131">
        <v>94.6359</v>
      </c>
      <c r="D9" s="132">
        <v>71.94755</v>
      </c>
      <c r="E9" s="132">
        <f>53.85835+0.3+1.2</f>
        <v>55.35835</v>
      </c>
      <c r="F9" s="132">
        <v>0</v>
      </c>
      <c r="G9" s="522">
        <f>0.3+1.2</f>
        <v>1.5</v>
      </c>
      <c r="H9" s="688">
        <f>D9-E9</f>
        <v>16.589200000000005</v>
      </c>
    </row>
    <row r="10" spans="1:8" ht="20.25">
      <c r="A10" s="386" t="s">
        <v>350</v>
      </c>
      <c r="B10" s="135" t="s">
        <v>25</v>
      </c>
      <c r="C10" s="131">
        <v>111.9448</v>
      </c>
      <c r="D10" s="132">
        <v>76.8312</v>
      </c>
      <c r="E10" s="132">
        <f>62.9374+0.3+0.5+0.5</f>
        <v>64.2374</v>
      </c>
      <c r="F10" s="132">
        <v>0</v>
      </c>
      <c r="G10" s="522">
        <f>0.3+0.5+0.5</f>
        <v>1.3</v>
      </c>
      <c r="H10" s="688">
        <f>D10-E10</f>
        <v>12.593800000000002</v>
      </c>
    </row>
    <row r="11" spans="1:8" ht="20.25">
      <c r="A11" s="386" t="s">
        <v>351</v>
      </c>
      <c r="B11" s="135" t="s">
        <v>25</v>
      </c>
      <c r="C11" s="131">
        <v>66.05576</v>
      </c>
      <c r="D11" s="132">
        <v>47.5248</v>
      </c>
      <c r="E11" s="132">
        <f>37.8519+0.3</f>
        <v>38.1519</v>
      </c>
      <c r="F11" s="132">
        <v>0</v>
      </c>
      <c r="G11" s="689">
        <v>0.3</v>
      </c>
      <c r="H11" s="688">
        <f>D11-E11</f>
        <v>9.372900000000001</v>
      </c>
    </row>
    <row r="13" spans="1:6" ht="20.25">
      <c r="A13" s="535" t="s">
        <v>377</v>
      </c>
      <c r="B13" s="535"/>
      <c r="C13" s="535"/>
      <c r="D13" s="535"/>
      <c r="E13" s="535" t="s">
        <v>378</v>
      </c>
      <c r="F13" s="535"/>
    </row>
  </sheetData>
  <sheetProtection/>
  <protectedRanges>
    <protectedRange sqref="A13:F13" name="Диапазон1_1"/>
  </protectedRanges>
  <mergeCells count="2">
    <mergeCell ref="A1:A2"/>
    <mergeCell ref="B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zoomScale="55" zoomScaleNormal="55" zoomScaleSheetLayoutView="55" zoomScalePageLayoutView="0" workbookViewId="0" topLeftCell="A1">
      <selection activeCell="P12" sqref="P12"/>
    </sheetView>
  </sheetViews>
  <sheetFormatPr defaultColWidth="9.00390625" defaultRowHeight="12.75"/>
  <cols>
    <col min="1" max="1" width="3.875" style="0" customWidth="1"/>
    <col min="2" max="2" width="30.625" style="0" customWidth="1"/>
    <col min="3" max="3" width="47.00390625" style="0" customWidth="1"/>
    <col min="4" max="4" width="11.375" style="0" customWidth="1"/>
    <col min="5" max="5" width="16.125" style="0" hidden="1" customWidth="1"/>
    <col min="6" max="6" width="17.25390625" style="0" customWidth="1"/>
    <col min="7" max="7" width="13.375" style="0" customWidth="1"/>
    <col min="8" max="8" width="13.375" style="0" hidden="1" customWidth="1"/>
    <col min="9" max="9" width="12.875" style="0" customWidth="1"/>
    <col min="10" max="10" width="12.75390625" style="0" customWidth="1"/>
    <col min="11" max="11" width="14.75390625" style="0" customWidth="1"/>
    <col min="12" max="12" width="12.625" style="0" customWidth="1"/>
    <col min="13" max="13" width="15.00390625" style="0" customWidth="1"/>
    <col min="14" max="14" width="10.875" style="0" customWidth="1"/>
    <col min="15" max="15" width="11.75390625" style="0" customWidth="1"/>
    <col min="16" max="16" width="9.375" style="0" customWidth="1"/>
    <col min="17" max="17" width="15.625" style="0" customWidth="1"/>
    <col min="18" max="19" width="11.00390625" style="0" customWidth="1"/>
    <col min="20" max="20" width="10.125" style="0" customWidth="1"/>
    <col min="21" max="21" width="12.375" style="0" customWidth="1"/>
    <col min="22" max="22" width="11.625" style="0" hidden="1" customWidth="1"/>
    <col min="23" max="23" width="11.125" style="0" hidden="1" customWidth="1"/>
    <col min="24" max="24" width="20.25390625" style="0" customWidth="1"/>
    <col min="25" max="25" width="15.25390625" style="0" customWidth="1"/>
    <col min="26" max="26" width="11.25390625" style="0" customWidth="1"/>
    <col min="27" max="27" width="14.625" style="0" customWidth="1"/>
    <col min="28" max="28" width="9.125" style="0" customWidth="1"/>
    <col min="29" max="29" width="16.875" style="0" customWidth="1"/>
    <col min="30" max="30" width="14.75390625" style="0" customWidth="1"/>
  </cols>
  <sheetData>
    <row r="1" spans="1:24" ht="20.25">
      <c r="A1" s="78"/>
      <c r="B1" s="710" t="s">
        <v>34</v>
      </c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0"/>
      <c r="V1" s="710"/>
      <c r="W1" s="710"/>
      <c r="X1" s="710"/>
    </row>
    <row r="2" spans="1:24" ht="20.25">
      <c r="A2" s="710" t="s">
        <v>420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1"/>
      <c r="X2" s="711"/>
    </row>
    <row r="3" spans="1:24" ht="4.5" customHeight="1" thickBot="1">
      <c r="A3" s="79"/>
      <c r="B3" s="79" t="s">
        <v>35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 t="s">
        <v>36</v>
      </c>
      <c r="Q3" s="79"/>
      <c r="R3" s="79"/>
      <c r="S3" s="79"/>
      <c r="T3" s="79"/>
      <c r="U3" s="79"/>
      <c r="V3" s="79"/>
      <c r="W3" s="79"/>
      <c r="X3" s="79"/>
    </row>
    <row r="4" spans="1:24" ht="15" customHeight="1">
      <c r="A4" s="712" t="s">
        <v>37</v>
      </c>
      <c r="B4" s="714" t="s">
        <v>38</v>
      </c>
      <c r="C4" s="714" t="s">
        <v>39</v>
      </c>
      <c r="D4" s="716" t="s">
        <v>40</v>
      </c>
      <c r="E4" s="717"/>
      <c r="F4" s="718"/>
      <c r="G4" s="722" t="s">
        <v>77</v>
      </c>
      <c r="H4" s="722"/>
      <c r="I4" s="722"/>
      <c r="J4" s="714" t="s">
        <v>41</v>
      </c>
      <c r="K4" s="714"/>
      <c r="L4" s="724" t="s">
        <v>376</v>
      </c>
      <c r="M4" s="724"/>
      <c r="N4" s="714" t="s">
        <v>42</v>
      </c>
      <c r="O4" s="714"/>
      <c r="P4" s="714" t="s">
        <v>43</v>
      </c>
      <c r="Q4" s="714"/>
      <c r="R4" s="737" t="s">
        <v>44</v>
      </c>
      <c r="S4" s="737" t="s">
        <v>45</v>
      </c>
      <c r="T4" s="737" t="s">
        <v>46</v>
      </c>
      <c r="U4" s="737"/>
      <c r="V4" s="714" t="s">
        <v>47</v>
      </c>
      <c r="W4" s="714" t="s">
        <v>48</v>
      </c>
      <c r="X4" s="726" t="s">
        <v>49</v>
      </c>
    </row>
    <row r="5" spans="1:24" ht="49.5" customHeight="1">
      <c r="A5" s="713"/>
      <c r="B5" s="715"/>
      <c r="C5" s="715"/>
      <c r="D5" s="719"/>
      <c r="E5" s="720"/>
      <c r="F5" s="721"/>
      <c r="G5" s="723"/>
      <c r="H5" s="723"/>
      <c r="I5" s="723"/>
      <c r="J5" s="715"/>
      <c r="K5" s="715"/>
      <c r="L5" s="725"/>
      <c r="M5" s="725"/>
      <c r="N5" s="715"/>
      <c r="O5" s="715"/>
      <c r="P5" s="715"/>
      <c r="Q5" s="715"/>
      <c r="R5" s="738"/>
      <c r="S5" s="738"/>
      <c r="T5" s="738"/>
      <c r="U5" s="738"/>
      <c r="V5" s="715"/>
      <c r="W5" s="715"/>
      <c r="X5" s="727"/>
    </row>
    <row r="6" spans="1:26" ht="25.5" customHeight="1">
      <c r="A6" s="606" t="s">
        <v>50</v>
      </c>
      <c r="B6" s="715"/>
      <c r="C6" s="715"/>
      <c r="D6" s="80" t="s">
        <v>19</v>
      </c>
      <c r="E6" s="81" t="s">
        <v>25</v>
      </c>
      <c r="F6" s="81" t="s">
        <v>25</v>
      </c>
      <c r="G6" s="80" t="s">
        <v>19</v>
      </c>
      <c r="H6" s="80"/>
      <c r="I6" s="81" t="s">
        <v>25</v>
      </c>
      <c r="J6" s="80" t="s">
        <v>19</v>
      </c>
      <c r="K6" s="81" t="s">
        <v>25</v>
      </c>
      <c r="L6" s="80" t="s">
        <v>19</v>
      </c>
      <c r="M6" s="81" t="s">
        <v>25</v>
      </c>
      <c r="N6" s="80" t="s">
        <v>19</v>
      </c>
      <c r="O6" s="81" t="s">
        <v>25</v>
      </c>
      <c r="P6" s="80" t="s">
        <v>19</v>
      </c>
      <c r="Q6" s="81" t="s">
        <v>25</v>
      </c>
      <c r="R6" s="728" t="s">
        <v>51</v>
      </c>
      <c r="S6" s="728"/>
      <c r="T6" s="80" t="s">
        <v>19</v>
      </c>
      <c r="U6" s="81" t="s">
        <v>25</v>
      </c>
      <c r="V6" s="715"/>
      <c r="W6" s="715"/>
      <c r="X6" s="727"/>
      <c r="Z6">
        <v>1</v>
      </c>
    </row>
    <row r="7" spans="1:24" ht="13.5" thickBot="1">
      <c r="A7" s="611">
        <v>1</v>
      </c>
      <c r="B7" s="612">
        <v>2</v>
      </c>
      <c r="C7" s="612">
        <v>3</v>
      </c>
      <c r="D7" s="612">
        <v>4</v>
      </c>
      <c r="E7" s="612">
        <v>5</v>
      </c>
      <c r="F7" s="612"/>
      <c r="G7" s="612">
        <v>6</v>
      </c>
      <c r="H7" s="612"/>
      <c r="I7" s="612">
        <v>7</v>
      </c>
      <c r="J7" s="612">
        <v>8</v>
      </c>
      <c r="K7" s="612">
        <v>9</v>
      </c>
      <c r="L7" s="612">
        <v>10</v>
      </c>
      <c r="M7" s="612">
        <v>11</v>
      </c>
      <c r="N7" s="612">
        <v>12</v>
      </c>
      <c r="O7" s="612">
        <v>13</v>
      </c>
      <c r="P7" s="612">
        <v>14</v>
      </c>
      <c r="Q7" s="612">
        <v>15</v>
      </c>
      <c r="R7" s="612">
        <v>16</v>
      </c>
      <c r="S7" s="612">
        <v>17</v>
      </c>
      <c r="T7" s="612">
        <v>18</v>
      </c>
      <c r="U7" s="612">
        <v>19</v>
      </c>
      <c r="V7" s="612">
        <v>12</v>
      </c>
      <c r="W7" s="612">
        <v>13</v>
      </c>
      <c r="X7" s="613">
        <v>20</v>
      </c>
    </row>
    <row r="8" spans="1:24" ht="24" customHeight="1">
      <c r="A8" s="729" t="s">
        <v>52</v>
      </c>
      <c r="B8" s="730"/>
      <c r="C8" s="730"/>
      <c r="D8" s="730"/>
      <c r="E8" s="730"/>
      <c r="F8" s="730"/>
      <c r="G8" s="730"/>
      <c r="H8" s="730"/>
      <c r="I8" s="730"/>
      <c r="J8" s="730"/>
      <c r="K8" s="730"/>
      <c r="L8" s="730"/>
      <c r="M8" s="730"/>
      <c r="N8" s="730"/>
      <c r="O8" s="730"/>
      <c r="P8" s="730"/>
      <c r="Q8" s="730"/>
      <c r="R8" s="730"/>
      <c r="S8" s="730"/>
      <c r="T8" s="730"/>
      <c r="U8" s="730"/>
      <c r="V8" s="730"/>
      <c r="W8" s="730"/>
      <c r="X8" s="731"/>
    </row>
    <row r="9" spans="1:24" ht="24" customHeight="1">
      <c r="A9" s="732">
        <v>1</v>
      </c>
      <c r="B9" s="733" t="s">
        <v>53</v>
      </c>
      <c r="C9" s="82" t="s">
        <v>54</v>
      </c>
      <c r="D9" s="502">
        <f>'[2]2012г.'!$D$10</f>
        <v>28.8</v>
      </c>
      <c r="E9" s="502">
        <f>'[2]2012г.'!$D$10</f>
        <v>28.8</v>
      </c>
      <c r="F9" s="503">
        <v>29.1110204081633</v>
      </c>
      <c r="G9" s="504">
        <v>0</v>
      </c>
      <c r="H9" s="505">
        <v>0</v>
      </c>
      <c r="I9" s="505">
        <v>0</v>
      </c>
      <c r="J9" s="502">
        <v>0</v>
      </c>
      <c r="K9" s="506">
        <v>0</v>
      </c>
      <c r="L9" s="502">
        <v>0</v>
      </c>
      <c r="M9" s="506">
        <v>0</v>
      </c>
      <c r="N9" s="502">
        <v>0</v>
      </c>
      <c r="O9" s="502">
        <v>0</v>
      </c>
      <c r="P9" s="502">
        <f aca="true" t="shared" si="0" ref="P9:P14">D9-J9</f>
        <v>28.8</v>
      </c>
      <c r="Q9" s="83">
        <f>F9-K9</f>
        <v>29.1110204081633</v>
      </c>
      <c r="R9" s="85"/>
      <c r="S9" s="85"/>
      <c r="T9" s="86"/>
      <c r="U9" s="86"/>
      <c r="V9" s="87"/>
      <c r="W9" s="87"/>
      <c r="X9" s="736"/>
    </row>
    <row r="10" spans="1:25" ht="24" customHeight="1">
      <c r="A10" s="732"/>
      <c r="B10" s="734"/>
      <c r="C10" s="82" t="s">
        <v>55</v>
      </c>
      <c r="D10" s="502">
        <f>'[2]2012г.'!$D$11</f>
        <v>42</v>
      </c>
      <c r="E10" s="502">
        <f>'[2]2012г.'!$D$11</f>
        <v>42</v>
      </c>
      <c r="F10" s="503">
        <v>106.5375</v>
      </c>
      <c r="G10" s="504">
        <v>0</v>
      </c>
      <c r="H10" s="507">
        <v>0</v>
      </c>
      <c r="I10" s="507">
        <v>0</v>
      </c>
      <c r="J10" s="508">
        <v>0</v>
      </c>
      <c r="K10" s="509">
        <v>0</v>
      </c>
      <c r="L10" s="508">
        <v>0</v>
      </c>
      <c r="M10" s="509">
        <v>0</v>
      </c>
      <c r="N10" s="502">
        <v>0</v>
      </c>
      <c r="O10" s="502">
        <v>0</v>
      </c>
      <c r="P10" s="502">
        <f t="shared" si="0"/>
        <v>42</v>
      </c>
      <c r="Q10" s="83">
        <f>F10-K10</f>
        <v>106.5375</v>
      </c>
      <c r="R10" s="85"/>
      <c r="S10" s="85"/>
      <c r="T10" s="89"/>
      <c r="U10" s="90"/>
      <c r="V10" s="87"/>
      <c r="W10" s="87"/>
      <c r="X10" s="736"/>
      <c r="Y10" s="91"/>
    </row>
    <row r="11" spans="1:25" ht="24" customHeight="1">
      <c r="A11" s="732"/>
      <c r="B11" s="734"/>
      <c r="C11" s="82" t="s">
        <v>56</v>
      </c>
      <c r="D11" s="502">
        <f>'[2]2012г.'!$D$12</f>
        <v>41.565</v>
      </c>
      <c r="E11" s="502">
        <f>'[2]2012г.'!$D$12</f>
        <v>41.565</v>
      </c>
      <c r="F11" s="503">
        <v>111.933913043478</v>
      </c>
      <c r="G11" s="508">
        <v>0</v>
      </c>
      <c r="H11" s="507">
        <v>0</v>
      </c>
      <c r="I11" s="507">
        <v>0</v>
      </c>
      <c r="J11" s="508">
        <v>0</v>
      </c>
      <c r="K11" s="509">
        <v>0</v>
      </c>
      <c r="L11" s="508">
        <v>0</v>
      </c>
      <c r="M11" s="509">
        <v>0</v>
      </c>
      <c r="N11" s="502">
        <v>0</v>
      </c>
      <c r="O11" s="502">
        <v>0</v>
      </c>
      <c r="P11" s="502">
        <f t="shared" si="0"/>
        <v>41.565</v>
      </c>
      <c r="Q11" s="83">
        <f>F11-K11</f>
        <v>111.933913043478</v>
      </c>
      <c r="R11" s="93"/>
      <c r="S11" s="93"/>
      <c r="T11" s="89"/>
      <c r="U11" s="89"/>
      <c r="V11" s="87"/>
      <c r="W11" s="87"/>
      <c r="X11" s="736"/>
      <c r="Y11" s="91"/>
    </row>
    <row r="12" spans="1:25" ht="24" customHeight="1">
      <c r="A12" s="732"/>
      <c r="B12" s="734"/>
      <c r="C12" s="82" t="s">
        <v>57</v>
      </c>
      <c r="D12" s="502">
        <f>'[2]2012г.'!$D$13</f>
        <v>38.8</v>
      </c>
      <c r="E12" s="502">
        <f>'[2]2012г.'!$D$13</f>
        <v>38.8</v>
      </c>
      <c r="F12" s="503">
        <v>192.078181818182</v>
      </c>
      <c r="G12" s="508">
        <v>0</v>
      </c>
      <c r="H12" s="507">
        <v>0</v>
      </c>
      <c r="I12" s="507">
        <v>0</v>
      </c>
      <c r="J12" s="508">
        <v>0</v>
      </c>
      <c r="K12" s="505">
        <v>0</v>
      </c>
      <c r="L12" s="508">
        <v>0</v>
      </c>
      <c r="M12" s="505">
        <v>0</v>
      </c>
      <c r="N12" s="502">
        <v>0</v>
      </c>
      <c r="O12" s="502">
        <v>0</v>
      </c>
      <c r="P12" s="502">
        <f t="shared" si="0"/>
        <v>38.8</v>
      </c>
      <c r="Q12" s="83">
        <f>F12-K12</f>
        <v>192.078181818182</v>
      </c>
      <c r="R12" s="94"/>
      <c r="S12" s="93"/>
      <c r="T12" s="89"/>
      <c r="U12" s="89"/>
      <c r="V12" s="87"/>
      <c r="W12" s="95">
        <v>0.23</v>
      </c>
      <c r="X12" s="736"/>
      <c r="Y12" s="91"/>
    </row>
    <row r="13" spans="1:25" ht="24" customHeight="1">
      <c r="A13" s="732"/>
      <c r="B13" s="734"/>
      <c r="C13" s="82" t="s">
        <v>58</v>
      </c>
      <c r="D13" s="502">
        <f>'[2]2012г.'!$D$15</f>
        <v>37.900000000000006</v>
      </c>
      <c r="E13" s="502">
        <f>'[2]2012г.'!$D$15</f>
        <v>37.900000000000006</v>
      </c>
      <c r="F13" s="503">
        <v>283.7952</v>
      </c>
      <c r="G13" s="504">
        <v>0</v>
      </c>
      <c r="H13" s="507">
        <v>0</v>
      </c>
      <c r="I13" s="507">
        <v>0</v>
      </c>
      <c r="J13" s="508">
        <v>0</v>
      </c>
      <c r="K13" s="505">
        <v>0</v>
      </c>
      <c r="L13" s="508">
        <v>0</v>
      </c>
      <c r="M13" s="505">
        <v>0</v>
      </c>
      <c r="N13" s="502">
        <v>0</v>
      </c>
      <c r="O13" s="502">
        <v>0</v>
      </c>
      <c r="P13" s="502">
        <f t="shared" si="0"/>
        <v>37.900000000000006</v>
      </c>
      <c r="Q13" s="83">
        <f>F13-K13</f>
        <v>283.7952</v>
      </c>
      <c r="R13" s="85"/>
      <c r="S13" s="85"/>
      <c r="T13" s="89"/>
      <c r="U13" s="89"/>
      <c r="V13" s="87"/>
      <c r="W13" s="95">
        <v>0.33</v>
      </c>
      <c r="X13" s="736"/>
      <c r="Y13" s="91"/>
    </row>
    <row r="14" spans="1:25" ht="24" customHeight="1">
      <c r="A14" s="732"/>
      <c r="B14" s="735"/>
      <c r="C14" s="82" t="s">
        <v>59</v>
      </c>
      <c r="D14" s="502">
        <v>57.6</v>
      </c>
      <c r="E14" s="502">
        <v>57.6</v>
      </c>
      <c r="F14" s="510">
        <v>1290.91253</v>
      </c>
      <c r="G14" s="504"/>
      <c r="H14" s="507"/>
      <c r="I14" s="507">
        <v>120</v>
      </c>
      <c r="J14" s="504">
        <f>0.6+1.35+0.15+1+1.17+1.45+1.3+0.7+0.6+0.3+0.9+1.1+0.9+1+1.1+1+1.1+1.4+1.6+1.6+1.3</f>
        <v>21.620000000000005</v>
      </c>
      <c r="K14" s="511">
        <f>105.998+2.232+2.25+1.763+2+2.175+2+2.1+1.5+1.8+2+3.075+3.1+2.813+1.2</f>
        <v>136.00599999999997</v>
      </c>
      <c r="L14" s="504">
        <v>0</v>
      </c>
      <c r="M14" s="511">
        <f>2.232+2.25+1.763+2+2.175+2+2.1+1.5+1.8+2+3.075+3.1+2.813+1.2</f>
        <v>30.008000000000003</v>
      </c>
      <c r="N14" s="508">
        <v>0</v>
      </c>
      <c r="O14" s="88">
        <v>0</v>
      </c>
      <c r="P14" s="502">
        <f t="shared" si="0"/>
        <v>35.98</v>
      </c>
      <c r="Q14" s="92">
        <f>F14-K14</f>
        <v>1154.9065300000002</v>
      </c>
      <c r="R14" s="85"/>
      <c r="S14" s="88">
        <f>(U14-O14)/U14</f>
        <v>1</v>
      </c>
      <c r="T14" s="89"/>
      <c r="U14" s="102">
        <f>I14/25</f>
        <v>4.8</v>
      </c>
      <c r="V14" s="87"/>
      <c r="W14" s="95">
        <v>8</v>
      </c>
      <c r="X14" s="736"/>
      <c r="Y14" s="91"/>
    </row>
    <row r="15" spans="1:25" ht="24" customHeight="1" hidden="1">
      <c r="A15" s="741"/>
      <c r="B15" s="742"/>
      <c r="C15" s="742"/>
      <c r="D15" s="742"/>
      <c r="E15" s="742"/>
      <c r="F15" s="742"/>
      <c r="G15" s="742"/>
      <c r="H15" s="742"/>
      <c r="I15" s="742"/>
      <c r="J15" s="742"/>
      <c r="K15" s="742"/>
      <c r="L15" s="742"/>
      <c r="M15" s="742"/>
      <c r="N15" s="742"/>
      <c r="O15" s="742"/>
      <c r="P15" s="742"/>
      <c r="Q15" s="742"/>
      <c r="R15" s="742"/>
      <c r="S15" s="742"/>
      <c r="T15" s="742"/>
      <c r="U15" s="742"/>
      <c r="V15" s="742"/>
      <c r="W15" s="742"/>
      <c r="X15" s="743"/>
      <c r="Y15" s="91"/>
    </row>
    <row r="16" spans="1:25" s="79" customFormat="1" ht="24" customHeight="1" hidden="1">
      <c r="A16" s="744">
        <v>2</v>
      </c>
      <c r="B16" s="739" t="s">
        <v>60</v>
      </c>
      <c r="C16" s="96" t="s">
        <v>61</v>
      </c>
      <c r="D16" s="97"/>
      <c r="E16" s="98"/>
      <c r="F16" s="98"/>
      <c r="G16" s="97"/>
      <c r="H16" s="99"/>
      <c r="I16" s="99"/>
      <c r="J16" s="100"/>
      <c r="K16" s="99"/>
      <c r="L16" s="89"/>
      <c r="M16" s="86"/>
      <c r="N16" s="100"/>
      <c r="O16" s="99"/>
      <c r="P16" s="99"/>
      <c r="Q16" s="98"/>
      <c r="R16" s="98"/>
      <c r="S16" s="97"/>
      <c r="T16" s="89"/>
      <c r="U16" s="90"/>
      <c r="V16" s="101"/>
      <c r="W16" s="101"/>
      <c r="X16" s="740"/>
      <c r="Y16" s="91"/>
    </row>
    <row r="17" spans="1:25" s="79" customFormat="1" ht="24" customHeight="1" hidden="1">
      <c r="A17" s="744"/>
      <c r="B17" s="739"/>
      <c r="C17" s="96" t="s">
        <v>62</v>
      </c>
      <c r="D17" s="97"/>
      <c r="E17" s="98"/>
      <c r="F17" s="98"/>
      <c r="G17" s="97"/>
      <c r="H17" s="99"/>
      <c r="I17" s="99"/>
      <c r="J17" s="100"/>
      <c r="K17" s="99"/>
      <c r="L17" s="89"/>
      <c r="M17" s="86"/>
      <c r="N17" s="100"/>
      <c r="O17" s="83"/>
      <c r="P17" s="99"/>
      <c r="Q17" s="98"/>
      <c r="R17" s="93"/>
      <c r="S17" s="93"/>
      <c r="T17" s="89"/>
      <c r="U17" s="102"/>
      <c r="V17" s="101"/>
      <c r="W17" s="101"/>
      <c r="X17" s="740"/>
      <c r="Y17" s="91"/>
    </row>
    <row r="18" spans="1:25" s="79" customFormat="1" ht="24" customHeight="1" hidden="1">
      <c r="A18" s="744"/>
      <c r="B18" s="739"/>
      <c r="C18" s="96" t="s">
        <v>63</v>
      </c>
      <c r="D18" s="97"/>
      <c r="E18" s="98"/>
      <c r="F18" s="98"/>
      <c r="G18" s="97"/>
      <c r="H18" s="99"/>
      <c r="I18" s="99"/>
      <c r="J18" s="100"/>
      <c r="K18" s="100"/>
      <c r="L18" s="89"/>
      <c r="M18" s="86"/>
      <c r="N18" s="100"/>
      <c r="O18" s="83"/>
      <c r="P18" s="99"/>
      <c r="Q18" s="98"/>
      <c r="R18" s="97"/>
      <c r="S18" s="97"/>
      <c r="T18" s="89"/>
      <c r="U18" s="102"/>
      <c r="V18" s="101"/>
      <c r="W18" s="103">
        <v>0.16</v>
      </c>
      <c r="X18" s="740"/>
      <c r="Y18" s="91"/>
    </row>
    <row r="19" spans="1:25" s="79" customFormat="1" ht="24" customHeight="1" hidden="1">
      <c r="A19" s="744"/>
      <c r="B19" s="739"/>
      <c r="C19" s="96" t="s">
        <v>64</v>
      </c>
      <c r="D19" s="99"/>
      <c r="E19" s="104"/>
      <c r="F19" s="99"/>
      <c r="G19" s="99"/>
      <c r="H19" s="99"/>
      <c r="I19" s="104"/>
      <c r="J19" s="99"/>
      <c r="K19" s="83"/>
      <c r="L19" s="86"/>
      <c r="M19" s="86"/>
      <c r="N19" s="83"/>
      <c r="O19" s="88"/>
      <c r="P19" s="99"/>
      <c r="Q19" s="98"/>
      <c r="R19" s="97"/>
      <c r="S19" s="97"/>
      <c r="T19" s="89"/>
      <c r="U19" s="89"/>
      <c r="V19" s="101"/>
      <c r="W19" s="103">
        <v>4.8</v>
      </c>
      <c r="X19" s="740"/>
      <c r="Y19" s="91"/>
    </row>
    <row r="20" spans="1:25" s="79" customFormat="1" ht="24" customHeight="1" hidden="1">
      <c r="A20" s="741"/>
      <c r="B20" s="742"/>
      <c r="C20" s="742"/>
      <c r="D20" s="742"/>
      <c r="E20" s="742"/>
      <c r="F20" s="742"/>
      <c r="G20" s="742"/>
      <c r="H20" s="742"/>
      <c r="I20" s="742"/>
      <c r="J20" s="742"/>
      <c r="K20" s="742"/>
      <c r="L20" s="742"/>
      <c r="M20" s="742"/>
      <c r="N20" s="742"/>
      <c r="O20" s="742"/>
      <c r="P20" s="742"/>
      <c r="Q20" s="742"/>
      <c r="R20" s="742"/>
      <c r="S20" s="742"/>
      <c r="T20" s="742"/>
      <c r="U20" s="742"/>
      <c r="V20" s="742"/>
      <c r="W20" s="742"/>
      <c r="X20" s="743"/>
      <c r="Y20" s="91"/>
    </row>
    <row r="21" spans="1:25" s="79" customFormat="1" ht="24" customHeight="1" hidden="1">
      <c r="A21" s="744">
        <v>3</v>
      </c>
      <c r="B21" s="739" t="s">
        <v>65</v>
      </c>
      <c r="C21" s="82" t="s">
        <v>61</v>
      </c>
      <c r="D21" s="85"/>
      <c r="E21" s="83"/>
      <c r="F21" s="92"/>
      <c r="G21" s="85"/>
      <c r="H21" s="83"/>
      <c r="I21" s="83"/>
      <c r="J21" s="88"/>
      <c r="K21" s="88"/>
      <c r="L21" s="89"/>
      <c r="M21" s="89"/>
      <c r="N21" s="88"/>
      <c r="O21" s="83"/>
      <c r="P21" s="83"/>
      <c r="Q21" s="83"/>
      <c r="R21" s="85"/>
      <c r="S21" s="85"/>
      <c r="T21" s="89"/>
      <c r="U21" s="90"/>
      <c r="V21" s="87"/>
      <c r="W21" s="87"/>
      <c r="X21" s="736"/>
      <c r="Y21" s="91"/>
    </row>
    <row r="22" spans="1:25" s="79" customFormat="1" ht="24" customHeight="1" hidden="1">
      <c r="A22" s="744"/>
      <c r="B22" s="739"/>
      <c r="C22" s="82" t="s">
        <v>66</v>
      </c>
      <c r="D22" s="105"/>
      <c r="E22" s="92"/>
      <c r="F22" s="92"/>
      <c r="G22" s="85"/>
      <c r="H22" s="83"/>
      <c r="I22" s="83"/>
      <c r="J22" s="88"/>
      <c r="K22" s="83"/>
      <c r="L22" s="89"/>
      <c r="M22" s="86"/>
      <c r="N22" s="88"/>
      <c r="O22" s="83"/>
      <c r="P22" s="83"/>
      <c r="Q22" s="92"/>
      <c r="R22" s="85"/>
      <c r="S22" s="85"/>
      <c r="T22" s="89"/>
      <c r="U22" s="89"/>
      <c r="V22" s="87"/>
      <c r="W22" s="87"/>
      <c r="X22" s="736"/>
      <c r="Y22" s="91"/>
    </row>
    <row r="23" spans="1:25" s="79" customFormat="1" ht="24" customHeight="1" hidden="1">
      <c r="A23" s="744"/>
      <c r="B23" s="739"/>
      <c r="C23" s="82" t="s">
        <v>63</v>
      </c>
      <c r="D23" s="85"/>
      <c r="E23" s="92"/>
      <c r="F23" s="92"/>
      <c r="G23" s="85"/>
      <c r="H23" s="83"/>
      <c r="I23" s="83"/>
      <c r="J23" s="88"/>
      <c r="K23" s="92"/>
      <c r="L23" s="89"/>
      <c r="M23" s="86"/>
      <c r="N23" s="88"/>
      <c r="O23" s="88"/>
      <c r="P23" s="83"/>
      <c r="Q23" s="83"/>
      <c r="R23" s="93"/>
      <c r="S23" s="93"/>
      <c r="T23" s="89"/>
      <c r="U23" s="89"/>
      <c r="V23" s="87"/>
      <c r="W23" s="95">
        <v>0.16</v>
      </c>
      <c r="X23" s="736"/>
      <c r="Y23" s="91"/>
    </row>
    <row r="24" spans="1:25" s="79" customFormat="1" ht="24" customHeight="1" hidden="1">
      <c r="A24" s="744"/>
      <c r="B24" s="739"/>
      <c r="C24" s="82" t="s">
        <v>67</v>
      </c>
      <c r="D24" s="83"/>
      <c r="E24" s="104"/>
      <c r="F24" s="83"/>
      <c r="G24" s="83"/>
      <c r="H24" s="83"/>
      <c r="I24" s="104"/>
      <c r="J24" s="83"/>
      <c r="K24" s="83"/>
      <c r="L24" s="86"/>
      <c r="M24" s="86"/>
      <c r="N24" s="83"/>
      <c r="O24" s="88"/>
      <c r="P24" s="83"/>
      <c r="Q24" s="83"/>
      <c r="R24" s="85"/>
      <c r="S24" s="85"/>
      <c r="T24" s="86"/>
      <c r="U24" s="89"/>
      <c r="V24" s="87"/>
      <c r="W24" s="87">
        <v>4.8</v>
      </c>
      <c r="X24" s="736"/>
      <c r="Y24" s="91"/>
    </row>
    <row r="25" spans="1:25" s="107" customFormat="1" ht="24" customHeight="1" hidden="1">
      <c r="A25" s="745"/>
      <c r="B25" s="746"/>
      <c r="C25" s="746"/>
      <c r="D25" s="746"/>
      <c r="E25" s="746"/>
      <c r="F25" s="746"/>
      <c r="G25" s="746"/>
      <c r="H25" s="746"/>
      <c r="I25" s="746"/>
      <c r="J25" s="746"/>
      <c r="K25" s="746"/>
      <c r="L25" s="746"/>
      <c r="M25" s="746"/>
      <c r="N25" s="746"/>
      <c r="O25" s="746"/>
      <c r="P25" s="746"/>
      <c r="Q25" s="746"/>
      <c r="R25" s="746"/>
      <c r="S25" s="746"/>
      <c r="T25" s="746"/>
      <c r="U25" s="746"/>
      <c r="V25" s="746"/>
      <c r="W25" s="746"/>
      <c r="X25" s="747"/>
      <c r="Y25" s="106"/>
    </row>
    <row r="26" spans="1:25" s="79" customFormat="1" ht="24" customHeight="1" hidden="1">
      <c r="A26" s="744">
        <v>4</v>
      </c>
      <c r="B26" s="739" t="s">
        <v>68</v>
      </c>
      <c r="C26" s="96" t="s">
        <v>61</v>
      </c>
      <c r="D26" s="100"/>
      <c r="E26" s="100"/>
      <c r="F26" s="100"/>
      <c r="G26" s="97"/>
      <c r="H26" s="99"/>
      <c r="I26" s="99"/>
      <c r="J26" s="100"/>
      <c r="K26" s="99"/>
      <c r="L26" s="89"/>
      <c r="M26" s="86"/>
      <c r="N26" s="100"/>
      <c r="O26" s="99"/>
      <c r="P26" s="99"/>
      <c r="Q26" s="100"/>
      <c r="R26" s="97"/>
      <c r="S26" s="97"/>
      <c r="T26" s="89"/>
      <c r="U26" s="90"/>
      <c r="V26" s="101"/>
      <c r="W26" s="101"/>
      <c r="X26" s="740"/>
      <c r="Y26" s="91"/>
    </row>
    <row r="27" spans="1:25" s="79" customFormat="1" ht="24" customHeight="1" hidden="1">
      <c r="A27" s="744"/>
      <c r="B27" s="739"/>
      <c r="C27" s="96" t="s">
        <v>66</v>
      </c>
      <c r="D27" s="100"/>
      <c r="E27" s="98"/>
      <c r="F27" s="98"/>
      <c r="G27" s="97"/>
      <c r="H27" s="99"/>
      <c r="I27" s="99"/>
      <c r="J27" s="100"/>
      <c r="K27" s="99"/>
      <c r="L27" s="89"/>
      <c r="M27" s="86"/>
      <c r="N27" s="100"/>
      <c r="O27" s="99"/>
      <c r="P27" s="99"/>
      <c r="Q27" s="98"/>
      <c r="R27" s="97"/>
      <c r="S27" s="97"/>
      <c r="T27" s="89"/>
      <c r="U27" s="89"/>
      <c r="V27" s="101"/>
      <c r="W27" s="101"/>
      <c r="X27" s="740"/>
      <c r="Y27" s="91"/>
    </row>
    <row r="28" spans="1:25" s="79" customFormat="1" ht="24" customHeight="1" hidden="1">
      <c r="A28" s="744"/>
      <c r="B28" s="739"/>
      <c r="C28" s="96" t="s">
        <v>63</v>
      </c>
      <c r="D28" s="99"/>
      <c r="E28" s="98"/>
      <c r="F28" s="98"/>
      <c r="G28" s="97"/>
      <c r="H28" s="99"/>
      <c r="I28" s="99"/>
      <c r="J28" s="100"/>
      <c r="K28" s="99"/>
      <c r="L28" s="89"/>
      <c r="M28" s="89"/>
      <c r="N28" s="100"/>
      <c r="O28" s="100"/>
      <c r="P28" s="99"/>
      <c r="Q28" s="99"/>
      <c r="R28" s="93"/>
      <c r="S28" s="93"/>
      <c r="T28" s="89"/>
      <c r="U28" s="89"/>
      <c r="V28" s="101"/>
      <c r="W28" s="103">
        <v>0.16</v>
      </c>
      <c r="X28" s="740"/>
      <c r="Y28" s="91"/>
    </row>
    <row r="29" spans="1:25" s="79" customFormat="1" ht="24" customHeight="1" hidden="1">
      <c r="A29" s="744"/>
      <c r="B29" s="739"/>
      <c r="C29" s="96" t="s">
        <v>67</v>
      </c>
      <c r="D29" s="99"/>
      <c r="E29" s="104"/>
      <c r="F29" s="104"/>
      <c r="G29" s="99"/>
      <c r="H29" s="99"/>
      <c r="I29" s="104"/>
      <c r="J29" s="99"/>
      <c r="K29" s="83"/>
      <c r="L29" s="86"/>
      <c r="M29" s="86"/>
      <c r="N29" s="83"/>
      <c r="O29" s="83"/>
      <c r="P29" s="99"/>
      <c r="Q29" s="99"/>
      <c r="R29" s="93"/>
      <c r="S29" s="93"/>
      <c r="T29" s="89"/>
      <c r="U29" s="89"/>
      <c r="V29" s="101"/>
      <c r="W29" s="101">
        <v>3.2</v>
      </c>
      <c r="X29" s="740"/>
      <c r="Y29" s="91"/>
    </row>
    <row r="30" spans="1:25" s="107" customFormat="1" ht="24" customHeight="1" hidden="1">
      <c r="A30" s="748"/>
      <c r="B30" s="749"/>
      <c r="C30" s="749"/>
      <c r="D30" s="749"/>
      <c r="E30" s="749"/>
      <c r="F30" s="749"/>
      <c r="G30" s="749"/>
      <c r="H30" s="749"/>
      <c r="I30" s="749"/>
      <c r="J30" s="749"/>
      <c r="K30" s="749"/>
      <c r="L30" s="749"/>
      <c r="M30" s="749"/>
      <c r="N30" s="749"/>
      <c r="O30" s="749"/>
      <c r="P30" s="749"/>
      <c r="Q30" s="749"/>
      <c r="R30" s="749"/>
      <c r="S30" s="749"/>
      <c r="T30" s="749"/>
      <c r="U30" s="749"/>
      <c r="V30" s="749"/>
      <c r="W30" s="749"/>
      <c r="X30" s="750"/>
      <c r="Y30" s="106"/>
    </row>
    <row r="31" spans="1:25" s="107" customFormat="1" ht="24" customHeight="1" hidden="1">
      <c r="A31" s="732">
        <v>5</v>
      </c>
      <c r="B31" s="739" t="s">
        <v>69</v>
      </c>
      <c r="C31" s="82" t="s">
        <v>70</v>
      </c>
      <c r="D31" s="108"/>
      <c r="E31" s="92"/>
      <c r="F31" s="92"/>
      <c r="G31" s="109"/>
      <c r="H31" s="83"/>
      <c r="I31" s="83"/>
      <c r="J31" s="110"/>
      <c r="K31" s="110"/>
      <c r="L31" s="89"/>
      <c r="M31" s="89"/>
      <c r="N31" s="110"/>
      <c r="O31" s="108"/>
      <c r="P31" s="108"/>
      <c r="Q31" s="92"/>
      <c r="R31" s="85"/>
      <c r="S31" s="85"/>
      <c r="T31" s="89"/>
      <c r="U31" s="90"/>
      <c r="V31" s="111"/>
      <c r="W31" s="111"/>
      <c r="X31" s="740"/>
      <c r="Y31" s="106"/>
    </row>
    <row r="32" spans="1:25" s="107" customFormat="1" ht="24" customHeight="1" hidden="1">
      <c r="A32" s="732"/>
      <c r="B32" s="739"/>
      <c r="C32" s="82" t="s">
        <v>54</v>
      </c>
      <c r="D32" s="108"/>
      <c r="E32" s="92"/>
      <c r="F32" s="92"/>
      <c r="G32" s="109"/>
      <c r="H32" s="83"/>
      <c r="I32" s="83"/>
      <c r="J32" s="110"/>
      <c r="K32" s="110"/>
      <c r="L32" s="89"/>
      <c r="M32" s="89"/>
      <c r="N32" s="110"/>
      <c r="O32" s="108"/>
      <c r="P32" s="108"/>
      <c r="Q32" s="92"/>
      <c r="R32" s="85"/>
      <c r="S32" s="85"/>
      <c r="T32" s="89"/>
      <c r="U32" s="90"/>
      <c r="V32" s="111"/>
      <c r="W32" s="111"/>
      <c r="X32" s="740"/>
      <c r="Y32" s="106"/>
    </row>
    <row r="33" spans="1:25" s="107" customFormat="1" ht="24" customHeight="1" hidden="1">
      <c r="A33" s="732"/>
      <c r="B33" s="739"/>
      <c r="C33" s="82" t="s">
        <v>55</v>
      </c>
      <c r="D33" s="108"/>
      <c r="E33" s="92"/>
      <c r="F33" s="92"/>
      <c r="G33" s="109"/>
      <c r="H33" s="83"/>
      <c r="I33" s="83"/>
      <c r="J33" s="110"/>
      <c r="K33" s="110"/>
      <c r="L33" s="89"/>
      <c r="M33" s="89"/>
      <c r="N33" s="110"/>
      <c r="O33" s="108"/>
      <c r="P33" s="108"/>
      <c r="Q33" s="92"/>
      <c r="R33" s="85"/>
      <c r="S33" s="85"/>
      <c r="T33" s="89"/>
      <c r="U33" s="90"/>
      <c r="V33" s="111"/>
      <c r="W33" s="111"/>
      <c r="X33" s="740"/>
      <c r="Y33" s="106"/>
    </row>
    <row r="34" spans="1:25" s="107" customFormat="1" ht="24" customHeight="1" hidden="1">
      <c r="A34" s="732"/>
      <c r="B34" s="739"/>
      <c r="C34" s="82" t="s">
        <v>56</v>
      </c>
      <c r="D34" s="108"/>
      <c r="E34" s="92"/>
      <c r="F34" s="92"/>
      <c r="G34" s="109"/>
      <c r="H34" s="83"/>
      <c r="I34" s="83"/>
      <c r="J34" s="110"/>
      <c r="K34" s="110"/>
      <c r="L34" s="89"/>
      <c r="M34" s="89"/>
      <c r="N34" s="110"/>
      <c r="O34" s="108"/>
      <c r="P34" s="108"/>
      <c r="Q34" s="92"/>
      <c r="R34" s="85"/>
      <c r="S34" s="85"/>
      <c r="T34" s="89"/>
      <c r="U34" s="90"/>
      <c r="V34" s="111"/>
      <c r="W34" s="111"/>
      <c r="X34" s="740"/>
      <c r="Y34" s="106"/>
    </row>
    <row r="35" spans="1:25" s="107" customFormat="1" ht="24" customHeight="1" hidden="1">
      <c r="A35" s="732"/>
      <c r="B35" s="739"/>
      <c r="C35" s="82" t="s">
        <v>66</v>
      </c>
      <c r="D35" s="109"/>
      <c r="E35" s="92"/>
      <c r="F35" s="83"/>
      <c r="G35" s="109"/>
      <c r="H35" s="83"/>
      <c r="I35" s="83"/>
      <c r="J35" s="110"/>
      <c r="K35" s="110"/>
      <c r="L35" s="89"/>
      <c r="M35" s="89"/>
      <c r="N35" s="110"/>
      <c r="O35" s="108"/>
      <c r="P35" s="108"/>
      <c r="Q35" s="92"/>
      <c r="R35" s="85"/>
      <c r="S35" s="85"/>
      <c r="T35" s="89"/>
      <c r="U35" s="89"/>
      <c r="V35" s="111"/>
      <c r="W35" s="111"/>
      <c r="X35" s="740"/>
      <c r="Y35" s="106"/>
    </row>
    <row r="36" spans="1:25" s="107" customFormat="1" ht="24" customHeight="1" hidden="1">
      <c r="A36" s="732"/>
      <c r="B36" s="739"/>
      <c r="C36" s="82" t="s">
        <v>63</v>
      </c>
      <c r="D36" s="109"/>
      <c r="E36" s="92"/>
      <c r="F36" s="88"/>
      <c r="G36" s="109"/>
      <c r="H36" s="83"/>
      <c r="I36" s="83"/>
      <c r="J36" s="110"/>
      <c r="K36" s="108"/>
      <c r="L36" s="89"/>
      <c r="M36" s="86"/>
      <c r="N36" s="108"/>
      <c r="O36" s="108"/>
      <c r="P36" s="108"/>
      <c r="Q36" s="92"/>
      <c r="R36" s="85"/>
      <c r="S36" s="85"/>
      <c r="T36" s="89"/>
      <c r="U36" s="89"/>
      <c r="V36" s="111"/>
      <c r="W36" s="112">
        <v>0.16</v>
      </c>
      <c r="X36" s="740"/>
      <c r="Y36" s="106"/>
    </row>
    <row r="37" spans="1:25" s="107" customFormat="1" ht="24" customHeight="1" hidden="1">
      <c r="A37" s="732"/>
      <c r="B37" s="739"/>
      <c r="C37" s="82" t="s">
        <v>64</v>
      </c>
      <c r="D37" s="108"/>
      <c r="E37" s="92"/>
      <c r="F37" s="92"/>
      <c r="G37" s="83"/>
      <c r="H37" s="83"/>
      <c r="I37" s="92"/>
      <c r="J37" s="108"/>
      <c r="K37" s="83"/>
      <c r="L37" s="86"/>
      <c r="M37" s="86"/>
      <c r="N37" s="83"/>
      <c r="O37" s="113"/>
      <c r="P37" s="108"/>
      <c r="Q37" s="99"/>
      <c r="R37" s="93"/>
      <c r="S37" s="114"/>
      <c r="T37" s="86"/>
      <c r="U37" s="89"/>
      <c r="V37" s="111"/>
      <c r="W37" s="111">
        <v>3.2</v>
      </c>
      <c r="X37" s="740"/>
      <c r="Y37" s="106"/>
    </row>
    <row r="38" spans="1:25" s="107" customFormat="1" ht="24" customHeight="1" hidden="1">
      <c r="A38" s="741"/>
      <c r="B38" s="742"/>
      <c r="C38" s="742"/>
      <c r="D38" s="742"/>
      <c r="E38" s="742"/>
      <c r="F38" s="742"/>
      <c r="G38" s="742"/>
      <c r="H38" s="742"/>
      <c r="I38" s="742"/>
      <c r="J38" s="742"/>
      <c r="K38" s="742"/>
      <c r="L38" s="742"/>
      <c r="M38" s="742"/>
      <c r="N38" s="742"/>
      <c r="O38" s="742"/>
      <c r="P38" s="742"/>
      <c r="Q38" s="742"/>
      <c r="R38" s="742"/>
      <c r="S38" s="742"/>
      <c r="T38" s="742"/>
      <c r="U38" s="742"/>
      <c r="V38" s="742"/>
      <c r="W38" s="742"/>
      <c r="X38" s="743"/>
      <c r="Y38" s="106"/>
    </row>
    <row r="39" spans="1:25" s="107" customFormat="1" ht="24" customHeight="1" hidden="1">
      <c r="A39" s="732">
        <v>470</v>
      </c>
      <c r="B39" s="739" t="s">
        <v>71</v>
      </c>
      <c r="C39" s="82" t="s">
        <v>70</v>
      </c>
      <c r="D39" s="92"/>
      <c r="E39" s="92"/>
      <c r="F39" s="84"/>
      <c r="G39" s="85"/>
      <c r="H39" s="83"/>
      <c r="I39" s="83"/>
      <c r="J39" s="100"/>
      <c r="K39" s="99"/>
      <c r="L39" s="89"/>
      <c r="M39" s="89"/>
      <c r="N39" s="100"/>
      <c r="O39" s="99"/>
      <c r="P39" s="83"/>
      <c r="Q39" s="92"/>
      <c r="R39" s="92"/>
      <c r="S39" s="85"/>
      <c r="T39" s="89"/>
      <c r="U39" s="90"/>
      <c r="V39" s="83"/>
      <c r="W39" s="83"/>
      <c r="X39" s="752"/>
      <c r="Y39" s="106"/>
    </row>
    <row r="40" spans="1:25" s="107" customFormat="1" ht="24" customHeight="1" hidden="1">
      <c r="A40" s="732"/>
      <c r="B40" s="739"/>
      <c r="C40" s="82" t="s">
        <v>66</v>
      </c>
      <c r="D40" s="92"/>
      <c r="E40" s="92"/>
      <c r="F40" s="84"/>
      <c r="G40" s="85"/>
      <c r="H40" s="115"/>
      <c r="I40" s="115"/>
      <c r="J40" s="100"/>
      <c r="K40" s="99"/>
      <c r="L40" s="89"/>
      <c r="M40" s="86"/>
      <c r="N40" s="100"/>
      <c r="O40" s="99"/>
      <c r="P40" s="83"/>
      <c r="Q40" s="92"/>
      <c r="R40" s="92"/>
      <c r="S40" s="85"/>
      <c r="T40" s="89"/>
      <c r="U40" s="89"/>
      <c r="V40" s="83"/>
      <c r="W40" s="83"/>
      <c r="X40" s="752"/>
      <c r="Y40" s="106"/>
    </row>
    <row r="41" spans="1:25" s="107" customFormat="1" ht="24" customHeight="1" hidden="1">
      <c r="A41" s="732"/>
      <c r="B41" s="739"/>
      <c r="C41" s="82" t="s">
        <v>63</v>
      </c>
      <c r="D41" s="83"/>
      <c r="E41" s="92"/>
      <c r="F41" s="84"/>
      <c r="G41" s="85"/>
      <c r="H41" s="115"/>
      <c r="I41" s="115"/>
      <c r="J41" s="100"/>
      <c r="K41" s="99"/>
      <c r="L41" s="89"/>
      <c r="M41" s="86"/>
      <c r="N41" s="100"/>
      <c r="O41" s="100"/>
      <c r="P41" s="83"/>
      <c r="Q41" s="99"/>
      <c r="R41" s="114"/>
      <c r="S41" s="93"/>
      <c r="T41" s="89"/>
      <c r="U41" s="89"/>
      <c r="V41" s="83"/>
      <c r="W41" s="83"/>
      <c r="X41" s="752"/>
      <c r="Y41" s="106"/>
    </row>
    <row r="42" spans="1:25" s="107" customFormat="1" ht="24" customHeight="1" hidden="1">
      <c r="A42" s="732"/>
      <c r="B42" s="739"/>
      <c r="C42" s="82" t="s">
        <v>67</v>
      </c>
      <c r="D42" s="83"/>
      <c r="E42" s="92"/>
      <c r="F42" s="116"/>
      <c r="G42" s="116"/>
      <c r="H42" s="116"/>
      <c r="I42" s="92"/>
      <c r="J42" s="100"/>
      <c r="K42" s="99"/>
      <c r="L42" s="117"/>
      <c r="M42" s="117"/>
      <c r="N42" s="99"/>
      <c r="O42" s="99"/>
      <c r="P42" s="99"/>
      <c r="Q42" s="83"/>
      <c r="R42" s="118"/>
      <c r="S42" s="118"/>
      <c r="T42" s="89"/>
      <c r="U42" s="89"/>
      <c r="V42" s="83"/>
      <c r="W42" s="83"/>
      <c r="X42" s="752"/>
      <c r="Y42" s="106"/>
    </row>
    <row r="43" spans="1:25" s="107" customFormat="1" ht="9" customHeight="1">
      <c r="A43" s="753"/>
      <c r="B43" s="754"/>
      <c r="C43" s="754"/>
      <c r="D43" s="754"/>
      <c r="E43" s="754"/>
      <c r="F43" s="754"/>
      <c r="G43" s="754"/>
      <c r="H43" s="754"/>
      <c r="I43" s="754"/>
      <c r="J43" s="754"/>
      <c r="K43" s="754"/>
      <c r="L43" s="754"/>
      <c r="M43" s="754"/>
      <c r="N43" s="754"/>
      <c r="O43" s="754"/>
      <c r="P43" s="754"/>
      <c r="Q43" s="754"/>
      <c r="R43" s="754"/>
      <c r="S43" s="754"/>
      <c r="T43" s="754"/>
      <c r="U43" s="754"/>
      <c r="V43" s="754"/>
      <c r="W43" s="754"/>
      <c r="X43" s="755"/>
      <c r="Y43" s="106"/>
    </row>
    <row r="44" spans="1:25" s="79" customFormat="1" ht="31.5" customHeight="1" hidden="1">
      <c r="A44" s="744">
        <v>7</v>
      </c>
      <c r="B44" s="757" t="s">
        <v>72</v>
      </c>
      <c r="C44" s="119" t="s">
        <v>73</v>
      </c>
      <c r="D44" s="120">
        <v>0</v>
      </c>
      <c r="E44" s="120">
        <f aca="true" t="shared" si="1" ref="E44:G46">E9</f>
        <v>28.8</v>
      </c>
      <c r="F44" s="120"/>
      <c r="G44" s="120">
        <f t="shared" si="1"/>
        <v>0</v>
      </c>
      <c r="H44" s="120"/>
      <c r="I44" s="120"/>
      <c r="J44" s="120">
        <f aca="true" t="shared" si="2" ref="J44:O46">J9</f>
        <v>0</v>
      </c>
      <c r="K44" s="120"/>
      <c r="L44" s="120"/>
      <c r="M44" s="120"/>
      <c r="N44" s="120">
        <f t="shared" si="2"/>
        <v>0</v>
      </c>
      <c r="O44" s="120">
        <f t="shared" si="2"/>
        <v>0</v>
      </c>
      <c r="P44" s="120">
        <f aca="true" t="shared" si="3" ref="P44:Q46">D44-J44</f>
        <v>0</v>
      </c>
      <c r="Q44" s="120">
        <f t="shared" si="3"/>
        <v>28.8</v>
      </c>
      <c r="R44" s="120"/>
      <c r="S44" s="120"/>
      <c r="T44" s="120"/>
      <c r="U44" s="120"/>
      <c r="V44" s="120"/>
      <c r="W44" s="120"/>
      <c r="X44" s="752"/>
      <c r="Y44" s="91"/>
    </row>
    <row r="45" spans="1:25" ht="30" customHeight="1">
      <c r="A45" s="744"/>
      <c r="B45" s="757"/>
      <c r="C45" s="119" t="s">
        <v>55</v>
      </c>
      <c r="D45" s="120">
        <f>D10</f>
        <v>42</v>
      </c>
      <c r="E45" s="120">
        <f t="shared" si="1"/>
        <v>42</v>
      </c>
      <c r="F45" s="120">
        <f>F10</f>
        <v>106.5375</v>
      </c>
      <c r="G45" s="120">
        <f t="shared" si="1"/>
        <v>0</v>
      </c>
      <c r="H45" s="120"/>
      <c r="I45" s="120"/>
      <c r="J45" s="121">
        <f t="shared" si="2"/>
        <v>0</v>
      </c>
      <c r="K45" s="120"/>
      <c r="L45" s="121">
        <f>L10</f>
        <v>0</v>
      </c>
      <c r="M45" s="120"/>
      <c r="N45" s="121">
        <f t="shared" si="2"/>
        <v>0</v>
      </c>
      <c r="O45" s="120">
        <f t="shared" si="2"/>
        <v>0</v>
      </c>
      <c r="P45" s="120">
        <f t="shared" si="3"/>
        <v>42</v>
      </c>
      <c r="Q45" s="120">
        <f t="shared" si="3"/>
        <v>42</v>
      </c>
      <c r="R45" s="120"/>
      <c r="S45" s="122"/>
      <c r="T45" s="120"/>
      <c r="U45" s="120"/>
      <c r="V45" s="120"/>
      <c r="W45" s="120"/>
      <c r="X45" s="752"/>
      <c r="Y45" s="91"/>
    </row>
    <row r="46" spans="1:25" ht="30" customHeight="1">
      <c r="A46" s="744"/>
      <c r="B46" s="757"/>
      <c r="C46" s="119" t="s">
        <v>74</v>
      </c>
      <c r="D46" s="120">
        <f>D11</f>
        <v>41.565</v>
      </c>
      <c r="E46" s="120">
        <f t="shared" si="1"/>
        <v>41.565</v>
      </c>
      <c r="F46" s="120">
        <f>F11</f>
        <v>111.933913043478</v>
      </c>
      <c r="G46" s="120">
        <f t="shared" si="1"/>
        <v>0</v>
      </c>
      <c r="H46" s="120"/>
      <c r="I46" s="120"/>
      <c r="J46" s="121">
        <f t="shared" si="2"/>
        <v>0</v>
      </c>
      <c r="K46" s="120"/>
      <c r="L46" s="121">
        <f>L11</f>
        <v>0</v>
      </c>
      <c r="M46" s="120"/>
      <c r="N46" s="121">
        <f t="shared" si="2"/>
        <v>0</v>
      </c>
      <c r="O46" s="120">
        <f t="shared" si="2"/>
        <v>0</v>
      </c>
      <c r="P46" s="120">
        <f t="shared" si="3"/>
        <v>41.565</v>
      </c>
      <c r="Q46" s="120">
        <f t="shared" si="3"/>
        <v>41.565</v>
      </c>
      <c r="R46" s="123"/>
      <c r="S46" s="123"/>
      <c r="T46" s="120"/>
      <c r="U46" s="122"/>
      <c r="V46" s="120"/>
      <c r="W46" s="120"/>
      <c r="X46" s="752"/>
      <c r="Y46" s="91"/>
    </row>
    <row r="47" spans="1:25" ht="30" customHeight="1">
      <c r="A47" s="744"/>
      <c r="B47" s="757"/>
      <c r="C47" s="119" t="s">
        <v>61</v>
      </c>
      <c r="D47" s="120">
        <f>D16+D21+D26+D31+D39</f>
        <v>0</v>
      </c>
      <c r="E47" s="120">
        <f>E16+E21+E26+E31+E39</f>
        <v>0</v>
      </c>
      <c r="F47" s="120">
        <f>F16+F21+F26+F31+F39</f>
        <v>0</v>
      </c>
      <c r="G47" s="120">
        <f>G16+G21+G26+G31+G39</f>
        <v>0</v>
      </c>
      <c r="H47" s="120"/>
      <c r="I47" s="120"/>
      <c r="J47" s="121">
        <f>J16+J21+J26+J31+J39</f>
        <v>0</v>
      </c>
      <c r="K47" s="121"/>
      <c r="L47" s="121">
        <f>L39+L31+L26+L21+L16</f>
        <v>0</v>
      </c>
      <c r="M47" s="120"/>
      <c r="N47" s="121">
        <f>N16+N21+N26+N31+N39</f>
        <v>0</v>
      </c>
      <c r="O47" s="120">
        <f>O16+O21+O26</f>
        <v>0</v>
      </c>
      <c r="P47" s="120">
        <f>D47-J47</f>
        <v>0</v>
      </c>
      <c r="Q47" s="120">
        <f>Q16+Q21+Q26+Q31+Q39</f>
        <v>0</v>
      </c>
      <c r="R47" s="122"/>
      <c r="S47" s="122"/>
      <c r="T47" s="120"/>
      <c r="U47" s="122"/>
      <c r="V47" s="120"/>
      <c r="W47" s="120"/>
      <c r="X47" s="752"/>
      <c r="Y47" s="91"/>
    </row>
    <row r="48" spans="1:25" s="126" customFormat="1" ht="30" customHeight="1">
      <c r="A48" s="744"/>
      <c r="B48" s="757"/>
      <c r="C48" s="119" t="s">
        <v>75</v>
      </c>
      <c r="D48" s="120">
        <f>D40+D35+D27+D22+D17+D12</f>
        <v>38.8</v>
      </c>
      <c r="E48" s="124">
        <f>E40+E35+E27+E22+E17+E12</f>
        <v>38.8</v>
      </c>
      <c r="F48" s="124">
        <f>F40+F35+F27+F22+F17+F12</f>
        <v>192.078181818182</v>
      </c>
      <c r="G48" s="124">
        <f>G40+G35+G27+G22+G17+G12</f>
        <v>0</v>
      </c>
      <c r="H48" s="124"/>
      <c r="I48" s="120"/>
      <c r="J48" s="121">
        <f>J12+J17+J22+J27+J35+J40</f>
        <v>0</v>
      </c>
      <c r="K48" s="120"/>
      <c r="L48" s="121">
        <f>L40+L35+L27+L22+L12+L17</f>
        <v>0</v>
      </c>
      <c r="M48" s="120"/>
      <c r="N48" s="121">
        <f>N12+N17+N22+N27+N35+N40</f>
        <v>0</v>
      </c>
      <c r="O48" s="120">
        <f>O12+O17+O22+O27+O35+O40</f>
        <v>0</v>
      </c>
      <c r="P48" s="120">
        <f>D48-J48</f>
        <v>38.8</v>
      </c>
      <c r="Q48" s="120">
        <f>Q12+Q17+Q22+Q27+Q35+Q40</f>
        <v>192.078181818182</v>
      </c>
      <c r="R48" s="122"/>
      <c r="S48" s="122"/>
      <c r="T48" s="120"/>
      <c r="U48" s="121"/>
      <c r="V48" s="120"/>
      <c r="W48" s="120"/>
      <c r="X48" s="752"/>
      <c r="Y48" s="125"/>
    </row>
    <row r="49" spans="1:25" ht="30" customHeight="1">
      <c r="A49" s="744"/>
      <c r="B49" s="757"/>
      <c r="C49" s="119" t="s">
        <v>76</v>
      </c>
      <c r="D49" s="120">
        <f>D13+D18+D23+D28+D36+D41</f>
        <v>37.900000000000006</v>
      </c>
      <c r="E49" s="120">
        <f aca="true" t="shared" si="4" ref="E49:G50">E41+E36+E28+E23+E18+E13</f>
        <v>37.900000000000006</v>
      </c>
      <c r="F49" s="120">
        <f t="shared" si="4"/>
        <v>283.7952</v>
      </c>
      <c r="G49" s="120">
        <f t="shared" si="4"/>
        <v>0</v>
      </c>
      <c r="H49" s="120"/>
      <c r="I49" s="120"/>
      <c r="J49" s="121">
        <f>J13+J18+J23+J28+J36+J41</f>
        <v>0</v>
      </c>
      <c r="K49" s="120"/>
      <c r="L49" s="121">
        <f>L41+L36+L28+L23+L18+L13</f>
        <v>0</v>
      </c>
      <c r="M49" s="120"/>
      <c r="N49" s="121">
        <f>N13+N18+N23+N28+N36+N41</f>
        <v>0</v>
      </c>
      <c r="O49" s="120">
        <f>O13+O18+O23+O28+O36+O41</f>
        <v>0</v>
      </c>
      <c r="P49" s="120">
        <f>D49-J49</f>
        <v>37.900000000000006</v>
      </c>
      <c r="Q49" s="120">
        <f>E49-K49</f>
        <v>37.900000000000006</v>
      </c>
      <c r="R49" s="122"/>
      <c r="S49" s="122"/>
      <c r="T49" s="120"/>
      <c r="U49" s="121"/>
      <c r="V49" s="120"/>
      <c r="W49" s="120"/>
      <c r="X49" s="752"/>
      <c r="Y49" s="91"/>
    </row>
    <row r="50" spans="1:25" ht="31.5" thickBot="1">
      <c r="A50" s="756"/>
      <c r="B50" s="758"/>
      <c r="C50" s="607" t="s">
        <v>67</v>
      </c>
      <c r="D50" s="608"/>
      <c r="E50" s="608">
        <f t="shared" si="4"/>
        <v>57.6</v>
      </c>
      <c r="F50" s="608">
        <f t="shared" si="4"/>
        <v>1290.91253</v>
      </c>
      <c r="G50" s="608">
        <f t="shared" si="4"/>
        <v>0</v>
      </c>
      <c r="H50" s="608"/>
      <c r="I50" s="608">
        <f>I42+I37+I29+I24+I19+I14</f>
        <v>120</v>
      </c>
      <c r="J50" s="608"/>
      <c r="K50" s="608">
        <f>K14+K37+K29+K24+K19</f>
        <v>136.00599999999997</v>
      </c>
      <c r="L50" s="608">
        <f>L42+L37+L29+L24+L19+L14</f>
        <v>0</v>
      </c>
      <c r="M50" s="608">
        <f>M42+M37+M29+M24+M19+M14</f>
        <v>30.008000000000003</v>
      </c>
      <c r="N50" s="608"/>
      <c r="O50" s="608">
        <f>O42+O37+O29+O24+O19+O14</f>
        <v>0</v>
      </c>
      <c r="P50" s="608"/>
      <c r="Q50" s="608">
        <f>E50-K50</f>
        <v>-78.40599999999998</v>
      </c>
      <c r="R50" s="609"/>
      <c r="S50" s="609"/>
      <c r="T50" s="608"/>
      <c r="U50" s="610">
        <v>32.17</v>
      </c>
      <c r="V50" s="608"/>
      <c r="W50" s="608"/>
      <c r="X50" s="759"/>
      <c r="Y50" s="91"/>
    </row>
    <row r="51" spans="2:24" ht="25.5">
      <c r="B51" s="751"/>
      <c r="C51" s="751"/>
      <c r="D51" s="751"/>
      <c r="E51" s="751"/>
      <c r="F51" s="751"/>
      <c r="G51" s="751"/>
      <c r="H51" s="751"/>
      <c r="I51" s="751"/>
      <c r="J51" s="751"/>
      <c r="K51" s="751"/>
      <c r="L51" s="751"/>
      <c r="M51" s="751"/>
      <c r="N51" s="751"/>
      <c r="O51" s="751"/>
      <c r="P51" s="751"/>
      <c r="Q51" s="751"/>
      <c r="R51" s="751"/>
      <c r="S51" s="751"/>
      <c r="T51" s="751"/>
      <c r="U51" s="751"/>
      <c r="V51" s="751"/>
      <c r="W51" s="751"/>
      <c r="X51" s="751"/>
    </row>
    <row r="53" spans="2:12" ht="23.25">
      <c r="B53" s="127"/>
      <c r="F53" s="535" t="s">
        <v>377</v>
      </c>
      <c r="G53" s="535"/>
      <c r="H53" s="535"/>
      <c r="I53" s="535"/>
      <c r="J53" s="535"/>
      <c r="K53" s="535"/>
      <c r="L53" s="535" t="s">
        <v>378</v>
      </c>
    </row>
    <row r="54" ht="23.25">
      <c r="B54" s="127"/>
    </row>
    <row r="55" ht="23.25">
      <c r="B55" s="127"/>
    </row>
  </sheetData>
  <sheetProtection/>
  <mergeCells count="48">
    <mergeCell ref="B51:X51"/>
    <mergeCell ref="A38:X38"/>
    <mergeCell ref="A39:A42"/>
    <mergeCell ref="B39:B42"/>
    <mergeCell ref="X39:X42"/>
    <mergeCell ref="A43:X43"/>
    <mergeCell ref="A44:A50"/>
    <mergeCell ref="B44:B50"/>
    <mergeCell ref="X44:X50"/>
    <mergeCell ref="A31:A37"/>
    <mergeCell ref="B31:B37"/>
    <mergeCell ref="X31:X37"/>
    <mergeCell ref="A15:X15"/>
    <mergeCell ref="A16:A19"/>
    <mergeCell ref="B16:B19"/>
    <mergeCell ref="X16:X19"/>
    <mergeCell ref="A20:X20"/>
    <mergeCell ref="A21:A24"/>
    <mergeCell ref="B21:B24"/>
    <mergeCell ref="X21:X24"/>
    <mergeCell ref="A25:X25"/>
    <mergeCell ref="A26:A29"/>
    <mergeCell ref="B26:B29"/>
    <mergeCell ref="X26:X29"/>
    <mergeCell ref="A30:X30"/>
    <mergeCell ref="A8:X8"/>
    <mergeCell ref="A9:A14"/>
    <mergeCell ref="B9:B14"/>
    <mergeCell ref="X9:X14"/>
    <mergeCell ref="N4:O5"/>
    <mergeCell ref="P4:Q5"/>
    <mergeCell ref="R4:R5"/>
    <mergeCell ref="S4:S5"/>
    <mergeCell ref="T4:U5"/>
    <mergeCell ref="V4:V6"/>
    <mergeCell ref="B1:X1"/>
    <mergeCell ref="A2:V2"/>
    <mergeCell ref="W2:X2"/>
    <mergeCell ref="A4:A5"/>
    <mergeCell ref="B4:B6"/>
    <mergeCell ref="C4:C6"/>
    <mergeCell ref="D4:F5"/>
    <mergeCell ref="G4:I5"/>
    <mergeCell ref="J4:K5"/>
    <mergeCell ref="L4:M5"/>
    <mergeCell ref="W4:W6"/>
    <mergeCell ref="X4:X6"/>
    <mergeCell ref="R6:S6"/>
  </mergeCells>
  <printOptions/>
  <pageMargins left="0.2755905511811024" right="0.4724409448818898" top="0.2755905511811024" bottom="0.2362204724409449" header="0.15748031496062992" footer="0.15748031496062992"/>
  <pageSetup horizontalDpi="600" verticalDpi="600" orientation="landscape" paperSize="9" scale="45" r:id="rId1"/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70"/>
  <sheetViews>
    <sheetView zoomScale="55" zoomScaleNormal="55" zoomScaleSheetLayoutView="55" zoomScalePageLayoutView="0" workbookViewId="0" topLeftCell="A1">
      <pane xSplit="5" ySplit="7" topLeftCell="G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E57" sqref="E57"/>
    </sheetView>
  </sheetViews>
  <sheetFormatPr defaultColWidth="9.00390625" defaultRowHeight="12.75"/>
  <cols>
    <col min="1" max="1" width="33.625" style="57" customWidth="1"/>
    <col min="2" max="2" width="13.00390625" style="57" customWidth="1"/>
    <col min="3" max="3" width="15.25390625" style="57" customWidth="1"/>
    <col min="4" max="4" width="13.125" style="57" customWidth="1"/>
    <col min="5" max="5" width="14.75390625" style="57" customWidth="1"/>
    <col min="6" max="6" width="12.875" style="57" customWidth="1"/>
    <col min="7" max="7" width="11.625" style="57" customWidth="1"/>
    <col min="8" max="8" width="12.375" style="57" customWidth="1"/>
    <col min="9" max="9" width="15.25390625" style="57" customWidth="1"/>
    <col min="10" max="10" width="13.125" style="57" customWidth="1"/>
    <col min="11" max="11" width="13.625" style="57" customWidth="1"/>
    <col min="12" max="12" width="14.375" style="57" customWidth="1"/>
    <col min="13" max="13" width="9.875" style="57" customWidth="1"/>
    <col min="14" max="14" width="11.00390625" style="57" customWidth="1"/>
    <col min="15" max="15" width="15.25390625" style="57" customWidth="1"/>
    <col min="16" max="17" width="13.125" style="57" customWidth="1"/>
    <col min="18" max="18" width="9.25390625" style="57" customWidth="1"/>
    <col min="19" max="19" width="12.25390625" style="57" customWidth="1"/>
    <col min="20" max="20" width="10.875" style="57" customWidth="1"/>
    <col min="21" max="21" width="15.25390625" style="57" customWidth="1"/>
    <col min="22" max="22" width="13.125" style="57" customWidth="1"/>
    <col min="23" max="23" width="12.625" style="57" customWidth="1"/>
    <col min="24" max="24" width="11.375" style="57" customWidth="1"/>
    <col min="25" max="25" width="12.875" style="57" hidden="1" customWidth="1"/>
    <col min="26" max="26" width="11.125" style="57" hidden="1" customWidth="1"/>
    <col min="27" max="27" width="15.25390625" style="57" hidden="1" customWidth="1"/>
    <col min="28" max="28" width="13.125" style="57" hidden="1" customWidth="1"/>
    <col min="29" max="29" width="9.125" style="57" hidden="1" customWidth="1"/>
    <col min="30" max="30" width="12.625" style="57" hidden="1" customWidth="1"/>
    <col min="31" max="31" width="9.125" style="57" hidden="1" customWidth="1"/>
    <col min="32" max="33" width="0" style="57" hidden="1" customWidth="1"/>
    <col min="34" max="16384" width="9.125" style="57" customWidth="1"/>
  </cols>
  <sheetData>
    <row r="1" spans="1:19" ht="30" customHeight="1">
      <c r="A1" s="760" t="s">
        <v>78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  <c r="Q1" s="760"/>
      <c r="R1" s="760"/>
      <c r="S1" s="760"/>
    </row>
    <row r="2" spans="1:9" ht="21" customHeight="1">
      <c r="A2" s="761"/>
      <c r="B2" s="761"/>
      <c r="C2" s="761"/>
      <c r="D2" s="761"/>
      <c r="E2" s="761"/>
      <c r="F2" s="761"/>
      <c r="G2" s="761"/>
      <c r="H2" s="761"/>
      <c r="I2" s="761"/>
    </row>
    <row r="3" spans="1:19" ht="21" customHeight="1">
      <c r="A3" s="762" t="s">
        <v>79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2"/>
    </row>
    <row r="4" spans="1:16" ht="27" thickBot="1">
      <c r="A4" s="128"/>
      <c r="B4" s="128"/>
      <c r="C4" s="128"/>
      <c r="D4" s="685">
        <v>303.4375</v>
      </c>
      <c r="E4" s="686">
        <f>D9-D4-2</f>
        <v>4.199999999999989</v>
      </c>
      <c r="F4" s="763"/>
      <c r="G4" s="763"/>
      <c r="H4" s="763"/>
      <c r="I4" s="763"/>
      <c r="N4" s="764">
        <f>Свод!H3</f>
        <v>40959</v>
      </c>
      <c r="O4" s="764"/>
      <c r="P4" s="764"/>
    </row>
    <row r="5" spans="1:31" ht="30" customHeight="1">
      <c r="A5" s="782" t="s">
        <v>80</v>
      </c>
      <c r="B5" s="778" t="s">
        <v>81</v>
      </c>
      <c r="C5" s="778"/>
      <c r="D5" s="778"/>
      <c r="E5" s="778"/>
      <c r="F5" s="778"/>
      <c r="G5" s="779" t="s">
        <v>82</v>
      </c>
      <c r="H5" s="778" t="s">
        <v>83</v>
      </c>
      <c r="I5" s="778"/>
      <c r="J5" s="778"/>
      <c r="K5" s="778"/>
      <c r="L5" s="778"/>
      <c r="M5" s="779" t="s">
        <v>82</v>
      </c>
      <c r="N5" s="526"/>
      <c r="O5" s="773" t="s">
        <v>84</v>
      </c>
      <c r="P5" s="774"/>
      <c r="Q5" s="774"/>
      <c r="R5" s="774"/>
      <c r="S5" s="767" t="s">
        <v>82</v>
      </c>
      <c r="T5" s="526"/>
      <c r="U5" s="773" t="s">
        <v>85</v>
      </c>
      <c r="V5" s="774"/>
      <c r="W5" s="774"/>
      <c r="X5" s="775"/>
      <c r="Y5" s="776" t="s">
        <v>82</v>
      </c>
      <c r="Z5" s="536"/>
      <c r="AA5" s="765" t="s">
        <v>86</v>
      </c>
      <c r="AB5" s="766"/>
      <c r="AC5" s="766"/>
      <c r="AD5" s="766"/>
      <c r="AE5" s="767" t="s">
        <v>82</v>
      </c>
    </row>
    <row r="6" spans="1:31" ht="15" customHeight="1">
      <c r="A6" s="783"/>
      <c r="B6" s="769" t="s">
        <v>87</v>
      </c>
      <c r="C6" s="770" t="s">
        <v>7</v>
      </c>
      <c r="D6" s="770" t="s">
        <v>88</v>
      </c>
      <c r="E6" s="770"/>
      <c r="F6" s="770" t="s">
        <v>89</v>
      </c>
      <c r="G6" s="769"/>
      <c r="H6" s="769" t="s">
        <v>87</v>
      </c>
      <c r="I6" s="770" t="s">
        <v>7</v>
      </c>
      <c r="J6" s="770" t="s">
        <v>88</v>
      </c>
      <c r="K6" s="770"/>
      <c r="L6" s="770" t="s">
        <v>89</v>
      </c>
      <c r="M6" s="769"/>
      <c r="N6" s="769" t="s">
        <v>87</v>
      </c>
      <c r="O6" s="770" t="s">
        <v>7</v>
      </c>
      <c r="P6" s="770" t="s">
        <v>88</v>
      </c>
      <c r="Q6" s="770"/>
      <c r="R6" s="770" t="s">
        <v>89</v>
      </c>
      <c r="S6" s="768"/>
      <c r="T6" s="769" t="s">
        <v>87</v>
      </c>
      <c r="U6" s="770" t="s">
        <v>7</v>
      </c>
      <c r="V6" s="770" t="s">
        <v>88</v>
      </c>
      <c r="W6" s="770"/>
      <c r="X6" s="771" t="s">
        <v>89</v>
      </c>
      <c r="Y6" s="777"/>
      <c r="Z6" s="772" t="s">
        <v>87</v>
      </c>
      <c r="AA6" s="770" t="s">
        <v>7</v>
      </c>
      <c r="AB6" s="770" t="s">
        <v>88</v>
      </c>
      <c r="AC6" s="770"/>
      <c r="AD6" s="770" t="s">
        <v>89</v>
      </c>
      <c r="AE6" s="768"/>
    </row>
    <row r="7" spans="1:31" ht="45">
      <c r="A7" s="783"/>
      <c r="B7" s="769"/>
      <c r="C7" s="770"/>
      <c r="D7" s="525" t="s">
        <v>41</v>
      </c>
      <c r="E7" s="525" t="s">
        <v>90</v>
      </c>
      <c r="F7" s="770"/>
      <c r="G7" s="769"/>
      <c r="H7" s="769"/>
      <c r="I7" s="770"/>
      <c r="J7" s="525" t="s">
        <v>41</v>
      </c>
      <c r="K7" s="525" t="s">
        <v>90</v>
      </c>
      <c r="L7" s="770"/>
      <c r="M7" s="769"/>
      <c r="N7" s="769"/>
      <c r="O7" s="770"/>
      <c r="P7" s="525" t="s">
        <v>41</v>
      </c>
      <c r="Q7" s="525" t="s">
        <v>90</v>
      </c>
      <c r="R7" s="770"/>
      <c r="S7" s="768"/>
      <c r="T7" s="769"/>
      <c r="U7" s="770"/>
      <c r="V7" s="525" t="s">
        <v>41</v>
      </c>
      <c r="W7" s="525" t="s">
        <v>90</v>
      </c>
      <c r="X7" s="771"/>
      <c r="Y7" s="777"/>
      <c r="Z7" s="772"/>
      <c r="AA7" s="770"/>
      <c r="AB7" s="129" t="s">
        <v>41</v>
      </c>
      <c r="AC7" s="129" t="s">
        <v>90</v>
      </c>
      <c r="AD7" s="770"/>
      <c r="AE7" s="768"/>
    </row>
    <row r="8" spans="1:31" s="141" customFormat="1" ht="34.5" customHeight="1">
      <c r="A8" s="529" t="s">
        <v>91</v>
      </c>
      <c r="B8" s="130" t="s">
        <v>25</v>
      </c>
      <c r="C8" s="131"/>
      <c r="D8" s="132"/>
      <c r="E8" s="132"/>
      <c r="F8" s="131">
        <f aca="true" t="shared" si="0" ref="F8:F14">C8-D8</f>
        <v>0</v>
      </c>
      <c r="G8" s="133"/>
      <c r="H8" s="130" t="s">
        <v>25</v>
      </c>
      <c r="I8" s="131"/>
      <c r="J8" s="134"/>
      <c r="K8" s="132"/>
      <c r="L8" s="135"/>
      <c r="M8" s="133"/>
      <c r="N8" s="130" t="s">
        <v>25</v>
      </c>
      <c r="O8" s="131"/>
      <c r="P8" s="136"/>
      <c r="Q8" s="136"/>
      <c r="R8" s="135"/>
      <c r="S8" s="137"/>
      <c r="T8" s="130" t="s">
        <v>25</v>
      </c>
      <c r="U8" s="138"/>
      <c r="V8" s="136"/>
      <c r="W8" s="136"/>
      <c r="X8" s="580">
        <f>U8-V8</f>
        <v>0</v>
      </c>
      <c r="Y8" s="575" t="e">
        <f aca="true" t="shared" si="1" ref="Y8:Y14">(V8/U8)*100</f>
        <v>#DIV/0!</v>
      </c>
      <c r="Z8" s="537" t="s">
        <v>25</v>
      </c>
      <c r="AA8" s="139">
        <f>AA9+AA10+AA11+AA12+AA13+AA14</f>
        <v>356.188</v>
      </c>
      <c r="AB8" s="139">
        <f>AB9+AB10+AB11+AB12+AB13+AB14</f>
        <v>0</v>
      </c>
      <c r="AC8" s="139">
        <f>AC9+AC10+AC11+AC12+AC13+AC14</f>
        <v>0</v>
      </c>
      <c r="AD8" s="140">
        <f>AA8-AB8</f>
        <v>356.188</v>
      </c>
      <c r="AE8" s="137">
        <f>(AB8/AA8)*100</f>
        <v>0</v>
      </c>
    </row>
    <row r="9" spans="1:31" s="145" customFormat="1" ht="45" customHeight="1" thickBot="1">
      <c r="A9" s="581" t="s">
        <v>10</v>
      </c>
      <c r="B9" s="582" t="s">
        <v>25</v>
      </c>
      <c r="C9" s="583">
        <v>376.4748</v>
      </c>
      <c r="D9" s="583">
        <f>303.4375+0.2+0.35+0.2+0.3+0.25+0.2+0.3+0.2+0.5+0.5+1.2+1.5+0.5</f>
        <v>309.6375</v>
      </c>
      <c r="E9" s="583">
        <v>0</v>
      </c>
      <c r="F9" s="583">
        <f t="shared" si="0"/>
        <v>66.83730000000003</v>
      </c>
      <c r="G9" s="690">
        <f>(D9/C9)*100</f>
        <v>82.24654080432474</v>
      </c>
      <c r="H9" s="584" t="s">
        <v>25</v>
      </c>
      <c r="I9" s="585">
        <v>365.48300000000023</v>
      </c>
      <c r="J9" s="586">
        <v>322.02772</v>
      </c>
      <c r="K9" s="584">
        <v>0</v>
      </c>
      <c r="L9" s="584">
        <f>I9-J9</f>
        <v>43.45528000000024</v>
      </c>
      <c r="M9" s="586">
        <f>(J9/I9)*100</f>
        <v>88.11017749115548</v>
      </c>
      <c r="N9" s="584" t="s">
        <v>25</v>
      </c>
      <c r="O9" s="584">
        <v>14.568</v>
      </c>
      <c r="P9" s="587">
        <v>6</v>
      </c>
      <c r="Q9" s="584">
        <v>0</v>
      </c>
      <c r="R9" s="584">
        <f>O9-P9</f>
        <v>8.568</v>
      </c>
      <c r="S9" s="588">
        <f>(P9/O9)*100</f>
        <v>41.18616144975288</v>
      </c>
      <c r="T9" s="589" t="s">
        <v>25</v>
      </c>
      <c r="U9" s="589">
        <f>('[3]1 вар'!$K$19+'[3]1 вар'!$K$23+'[3]1 вар'!$K$27)/1000</f>
        <v>65.37099</v>
      </c>
      <c r="V9" s="590">
        <f>('[3]1 вар'!$P$19+'[3]1 вар'!$P$23+'[3]1 вар'!$P$27)/1000</f>
        <v>48.908480000000004</v>
      </c>
      <c r="W9" s="591">
        <v>0</v>
      </c>
      <c r="X9" s="592">
        <f>U9-V9</f>
        <v>16.46251</v>
      </c>
      <c r="Y9" s="576">
        <f>(V9/U9)*100</f>
        <v>74.81679564589736</v>
      </c>
      <c r="Z9" s="538" t="s">
        <v>92</v>
      </c>
      <c r="AA9" s="142">
        <v>5</v>
      </c>
      <c r="AB9" s="143"/>
      <c r="AC9" s="143"/>
      <c r="AD9" s="130">
        <f aca="true" t="shared" si="2" ref="AD9:AD14">AA9-AB9</f>
        <v>5</v>
      </c>
      <c r="AE9" s="144">
        <f aca="true" t="shared" si="3" ref="AE9:AE14">(AB9/AA9)*100</f>
        <v>0</v>
      </c>
    </row>
    <row r="10" spans="1:31" s="155" customFormat="1" ht="45" customHeight="1" hidden="1">
      <c r="A10" s="577" t="s">
        <v>93</v>
      </c>
      <c r="B10" s="541" t="s">
        <v>25</v>
      </c>
      <c r="C10" s="578"/>
      <c r="D10" s="542"/>
      <c r="E10" s="543"/>
      <c r="F10" s="544">
        <f t="shared" si="0"/>
        <v>0</v>
      </c>
      <c r="G10" s="545" t="e">
        <f>(D10/C10)*100</f>
        <v>#DIV/0!</v>
      </c>
      <c r="H10" s="541" t="s">
        <v>25</v>
      </c>
      <c r="I10" s="579"/>
      <c r="J10" s="547"/>
      <c r="K10" s="541"/>
      <c r="L10" s="548"/>
      <c r="M10" s="545" t="e">
        <f>(J10/I10)*100</f>
        <v>#DIV/0!</v>
      </c>
      <c r="N10" s="541" t="s">
        <v>25</v>
      </c>
      <c r="O10" s="548"/>
      <c r="P10" s="549"/>
      <c r="Q10" s="547"/>
      <c r="R10" s="548"/>
      <c r="S10" s="545" t="e">
        <f>(P10/O10)*100</f>
        <v>#DIV/0!</v>
      </c>
      <c r="T10" s="541" t="s">
        <v>25</v>
      </c>
      <c r="U10" s="548"/>
      <c r="V10" s="547"/>
      <c r="W10" s="547"/>
      <c r="X10" s="548">
        <f>U10-V10</f>
        <v>0</v>
      </c>
      <c r="Y10" s="151" t="e">
        <f t="shared" si="1"/>
        <v>#DIV/0!</v>
      </c>
      <c r="Z10" s="539" t="s">
        <v>92</v>
      </c>
      <c r="AA10" s="153">
        <v>65.998</v>
      </c>
      <c r="AB10" s="153"/>
      <c r="AC10" s="154"/>
      <c r="AD10" s="140">
        <f t="shared" si="2"/>
        <v>65.998</v>
      </c>
      <c r="AE10" s="151">
        <f t="shared" si="3"/>
        <v>0</v>
      </c>
    </row>
    <row r="11" spans="1:31" s="155" customFormat="1" ht="45" customHeight="1" hidden="1">
      <c r="A11" s="156" t="s">
        <v>94</v>
      </c>
      <c r="B11" s="130" t="s">
        <v>25</v>
      </c>
      <c r="C11" s="157"/>
      <c r="D11" s="158"/>
      <c r="E11" s="159"/>
      <c r="F11" s="131">
        <f t="shared" si="0"/>
        <v>0</v>
      </c>
      <c r="G11" s="133" t="e">
        <f>(D11/C11)*100</f>
        <v>#DIV/0!</v>
      </c>
      <c r="H11" s="130" t="s">
        <v>25</v>
      </c>
      <c r="I11" s="160"/>
      <c r="J11" s="142"/>
      <c r="K11" s="142"/>
      <c r="L11" s="135"/>
      <c r="M11" s="133" t="e">
        <f>(J11/I11)*100</f>
        <v>#DIV/0!</v>
      </c>
      <c r="N11" s="130" t="s">
        <v>25</v>
      </c>
      <c r="O11" s="161"/>
      <c r="P11" s="143"/>
      <c r="Q11" s="162"/>
      <c r="R11" s="135"/>
      <c r="S11" s="137" t="e">
        <f>(P11/O11)*100</f>
        <v>#DIV/0!</v>
      </c>
      <c r="T11" s="130" t="s">
        <v>25</v>
      </c>
      <c r="U11" s="163"/>
      <c r="V11" s="162"/>
      <c r="W11" s="162"/>
      <c r="X11" s="135">
        <f>U11-V11</f>
        <v>0</v>
      </c>
      <c r="Y11" s="151" t="e">
        <f t="shared" si="1"/>
        <v>#DIV/0!</v>
      </c>
      <c r="Z11" s="539" t="s">
        <v>92</v>
      </c>
      <c r="AA11" s="153">
        <v>107.171</v>
      </c>
      <c r="AB11" s="153"/>
      <c r="AC11" s="154"/>
      <c r="AD11" s="140">
        <f t="shared" si="2"/>
        <v>107.171</v>
      </c>
      <c r="AE11" s="151">
        <f t="shared" si="3"/>
        <v>0</v>
      </c>
    </row>
    <row r="12" spans="1:31" s="155" customFormat="1" ht="45" customHeight="1" hidden="1">
      <c r="A12" s="156" t="s">
        <v>95</v>
      </c>
      <c r="B12" s="130" t="s">
        <v>25</v>
      </c>
      <c r="C12" s="131"/>
      <c r="D12" s="164"/>
      <c r="E12" s="164"/>
      <c r="F12" s="131">
        <f t="shared" si="0"/>
        <v>0</v>
      </c>
      <c r="G12" s="133" t="e">
        <f>(D12/C12)*100</f>
        <v>#DIV/0!</v>
      </c>
      <c r="H12" s="130" t="s">
        <v>25</v>
      </c>
      <c r="I12" s="165"/>
      <c r="J12" s="166"/>
      <c r="K12" s="167"/>
      <c r="L12" s="135"/>
      <c r="M12" s="133" t="e">
        <f>(J12/I12)*100</f>
        <v>#DIV/0!</v>
      </c>
      <c r="N12" s="130" t="s">
        <v>25</v>
      </c>
      <c r="O12" s="135"/>
      <c r="P12" s="168"/>
      <c r="Q12" s="168"/>
      <c r="R12" s="135"/>
      <c r="S12" s="137" t="e">
        <f>(P12/O12)*100</f>
        <v>#DIV/0!</v>
      </c>
      <c r="T12" s="130" t="s">
        <v>25</v>
      </c>
      <c r="U12" s="169"/>
      <c r="V12" s="167"/>
      <c r="W12" s="170"/>
      <c r="X12" s="135">
        <f>U12-V12</f>
        <v>0</v>
      </c>
      <c r="Y12" s="151" t="e">
        <f t="shared" si="1"/>
        <v>#DIV/0!</v>
      </c>
      <c r="Z12" s="539" t="s">
        <v>92</v>
      </c>
      <c r="AA12" s="153">
        <v>60.9</v>
      </c>
      <c r="AB12" s="153"/>
      <c r="AC12" s="153"/>
      <c r="AD12" s="140">
        <f t="shared" si="2"/>
        <v>60.9</v>
      </c>
      <c r="AE12" s="151">
        <f t="shared" si="3"/>
        <v>0</v>
      </c>
    </row>
    <row r="13" spans="1:31" s="155" customFormat="1" ht="45" customHeight="1" hidden="1">
      <c r="A13" s="156" t="s">
        <v>96</v>
      </c>
      <c r="B13" s="130" t="s">
        <v>25</v>
      </c>
      <c r="C13" s="157"/>
      <c r="D13" s="159"/>
      <c r="E13" s="159"/>
      <c r="F13" s="131">
        <f t="shared" si="0"/>
        <v>0</v>
      </c>
      <c r="G13" s="133" t="e">
        <f>(D13/C13)*100</f>
        <v>#DIV/0!</v>
      </c>
      <c r="H13" s="130" t="s">
        <v>25</v>
      </c>
      <c r="I13" s="171"/>
      <c r="J13" s="142"/>
      <c r="K13" s="142"/>
      <c r="L13" s="135"/>
      <c r="M13" s="133" t="e">
        <f>(J13/I13)*100</f>
        <v>#DIV/0!</v>
      </c>
      <c r="N13" s="130" t="s">
        <v>25</v>
      </c>
      <c r="O13" s="172"/>
      <c r="P13" s="142"/>
      <c r="Q13" s="162"/>
      <c r="R13" s="135"/>
      <c r="S13" s="137" t="e">
        <f>(P13/O13)*100</f>
        <v>#DIV/0!</v>
      </c>
      <c r="T13" s="130" t="s">
        <v>25</v>
      </c>
      <c r="U13" s="173"/>
      <c r="V13" s="142"/>
      <c r="W13" s="162"/>
      <c r="X13" s="135">
        <f>U13-V13</f>
        <v>0</v>
      </c>
      <c r="Y13" s="151" t="e">
        <f t="shared" si="1"/>
        <v>#DIV/0!</v>
      </c>
      <c r="Z13" s="539" t="s">
        <v>92</v>
      </c>
      <c r="AA13" s="153">
        <v>38.419</v>
      </c>
      <c r="AB13" s="174"/>
      <c r="AC13" s="154"/>
      <c r="AD13" s="140">
        <f t="shared" si="2"/>
        <v>38.419</v>
      </c>
      <c r="AE13" s="151">
        <f t="shared" si="3"/>
        <v>0</v>
      </c>
    </row>
    <row r="14" spans="1:31" s="155" customFormat="1" ht="45" customHeight="1" hidden="1">
      <c r="A14" s="529" t="s">
        <v>97</v>
      </c>
      <c r="B14" s="130" t="s">
        <v>25</v>
      </c>
      <c r="C14" s="149"/>
      <c r="D14" s="149"/>
      <c r="E14" s="132"/>
      <c r="F14" s="131">
        <f t="shared" si="0"/>
        <v>0</v>
      </c>
      <c r="G14" s="133" t="e">
        <f>(D14/C14)*100</f>
        <v>#DIV/0!</v>
      </c>
      <c r="H14" s="130" t="s">
        <v>25</v>
      </c>
      <c r="I14" s="165"/>
      <c r="J14" s="149"/>
      <c r="K14" s="130"/>
      <c r="L14" s="135"/>
      <c r="M14" s="133" t="e">
        <f>(J14/I14)*100</f>
        <v>#DIV/0!</v>
      </c>
      <c r="N14" s="130" t="s">
        <v>25</v>
      </c>
      <c r="O14" s="169"/>
      <c r="P14" s="150"/>
      <c r="Q14" s="150"/>
      <c r="R14" s="135"/>
      <c r="S14" s="137" t="e">
        <f>(P14/O14)*100</f>
        <v>#DIV/0!</v>
      </c>
      <c r="T14" s="130" t="s">
        <v>25</v>
      </c>
      <c r="U14" s="135"/>
      <c r="V14" s="130"/>
      <c r="W14" s="149"/>
      <c r="X14" s="135">
        <f>U14-V14</f>
        <v>0</v>
      </c>
      <c r="Y14" s="151" t="e">
        <f t="shared" si="1"/>
        <v>#DIV/0!</v>
      </c>
      <c r="Z14" s="539" t="s">
        <v>92</v>
      </c>
      <c r="AA14" s="175">
        <v>78.7</v>
      </c>
      <c r="AB14" s="175"/>
      <c r="AC14" s="175"/>
      <c r="AD14" s="140">
        <f t="shared" si="2"/>
        <v>78.7</v>
      </c>
      <c r="AE14" s="151">
        <f t="shared" si="3"/>
        <v>0</v>
      </c>
    </row>
    <row r="15" spans="1:25" s="155" customFormat="1" ht="45" customHeight="1" hidden="1" thickBot="1">
      <c r="A15" s="204"/>
      <c r="B15" s="177"/>
      <c r="C15" s="178"/>
      <c r="D15" s="179">
        <v>0</v>
      </c>
      <c r="E15" s="179"/>
      <c r="F15" s="179"/>
      <c r="G15" s="180"/>
      <c r="H15" s="181"/>
      <c r="I15" s="182"/>
      <c r="J15" s="183"/>
      <c r="K15" s="184"/>
      <c r="L15" s="184"/>
      <c r="M15" s="180"/>
      <c r="N15" s="181"/>
      <c r="O15" s="184"/>
      <c r="P15" s="185"/>
      <c r="Q15" s="185"/>
      <c r="R15" s="184"/>
      <c r="S15" s="180"/>
      <c r="T15" s="551"/>
      <c r="U15" s="551"/>
      <c r="V15" s="551"/>
      <c r="W15" s="551"/>
      <c r="X15" s="551"/>
      <c r="Y15" s="552"/>
    </row>
    <row r="16" spans="1:25" s="155" customFormat="1" ht="22.5" customHeight="1" hidden="1">
      <c r="A16" s="780" t="s">
        <v>80</v>
      </c>
      <c r="B16" s="765" t="s">
        <v>98</v>
      </c>
      <c r="C16" s="765"/>
      <c r="D16" s="765"/>
      <c r="E16" s="765"/>
      <c r="F16" s="765"/>
      <c r="G16" s="779" t="s">
        <v>82</v>
      </c>
      <c r="H16" s="765" t="s">
        <v>99</v>
      </c>
      <c r="I16" s="765"/>
      <c r="J16" s="765"/>
      <c r="K16" s="765"/>
      <c r="L16" s="765"/>
      <c r="M16" s="779" t="s">
        <v>82</v>
      </c>
      <c r="N16" s="784" t="s">
        <v>100</v>
      </c>
      <c r="O16" s="785"/>
      <c r="P16" s="785"/>
      <c r="Q16" s="785"/>
      <c r="R16" s="785"/>
      <c r="S16" s="767" t="s">
        <v>82</v>
      </c>
      <c r="T16" s="551"/>
      <c r="U16" s="551"/>
      <c r="V16" s="551"/>
      <c r="W16" s="551"/>
      <c r="X16" s="551"/>
      <c r="Y16" s="552"/>
    </row>
    <row r="17" spans="1:25" s="155" customFormat="1" ht="22.5" customHeight="1" hidden="1">
      <c r="A17" s="781"/>
      <c r="B17" s="769" t="s">
        <v>87</v>
      </c>
      <c r="C17" s="770" t="s">
        <v>7</v>
      </c>
      <c r="D17" s="770" t="s">
        <v>88</v>
      </c>
      <c r="E17" s="770"/>
      <c r="F17" s="770" t="s">
        <v>89</v>
      </c>
      <c r="G17" s="769"/>
      <c r="H17" s="769" t="s">
        <v>87</v>
      </c>
      <c r="I17" s="770" t="s">
        <v>7</v>
      </c>
      <c r="J17" s="770" t="s">
        <v>88</v>
      </c>
      <c r="K17" s="770"/>
      <c r="L17" s="770" t="s">
        <v>89</v>
      </c>
      <c r="M17" s="769"/>
      <c r="N17" s="186"/>
      <c r="O17" s="187"/>
      <c r="P17" s="187"/>
      <c r="Q17" s="188"/>
      <c r="R17" s="189"/>
      <c r="S17" s="768"/>
      <c r="T17" s="551"/>
      <c r="U17" s="551"/>
      <c r="V17" s="551"/>
      <c r="W17" s="551"/>
      <c r="X17" s="551"/>
      <c r="Y17" s="552"/>
    </row>
    <row r="18" spans="1:25" s="155" customFormat="1" ht="41.25" customHeight="1" hidden="1">
      <c r="A18" s="781"/>
      <c r="B18" s="769"/>
      <c r="C18" s="770"/>
      <c r="D18" s="525" t="s">
        <v>41</v>
      </c>
      <c r="E18" s="525" t="s">
        <v>90</v>
      </c>
      <c r="F18" s="770"/>
      <c r="G18" s="769"/>
      <c r="H18" s="769"/>
      <c r="I18" s="770"/>
      <c r="J18" s="525" t="s">
        <v>41</v>
      </c>
      <c r="K18" s="525" t="s">
        <v>90</v>
      </c>
      <c r="L18" s="770"/>
      <c r="M18" s="769"/>
      <c r="N18" s="186" t="s">
        <v>87</v>
      </c>
      <c r="O18" s="187" t="s">
        <v>7</v>
      </c>
      <c r="P18" s="525" t="s">
        <v>41</v>
      </c>
      <c r="Q18" s="525" t="s">
        <v>90</v>
      </c>
      <c r="R18" s="525" t="s">
        <v>89</v>
      </c>
      <c r="S18" s="768"/>
      <c r="T18" s="551"/>
      <c r="U18" s="551"/>
      <c r="V18" s="551"/>
      <c r="W18" s="551"/>
      <c r="X18" s="551"/>
      <c r="Y18" s="552"/>
    </row>
    <row r="19" spans="1:25" s="155" customFormat="1" ht="45" customHeight="1" hidden="1">
      <c r="A19" s="529" t="s">
        <v>91</v>
      </c>
      <c r="B19" s="146" t="s">
        <v>25</v>
      </c>
      <c r="C19" s="190">
        <f>C20+C21+C22+C23+C24+C25</f>
        <v>24.349</v>
      </c>
      <c r="D19" s="190">
        <f>D20+D21+D22+D23+D24+D25</f>
        <v>0</v>
      </c>
      <c r="E19" s="190">
        <f>E20+E21+E22+E23+E24+E25</f>
        <v>0</v>
      </c>
      <c r="F19" s="190">
        <f>C19-D19</f>
        <v>24.349</v>
      </c>
      <c r="G19" s="133">
        <f>(D19/C19)*100</f>
        <v>0</v>
      </c>
      <c r="H19" s="135" t="s">
        <v>25</v>
      </c>
      <c r="I19" s="190">
        <f>I20+I21+I22+I23+I24+I25</f>
        <v>10.8</v>
      </c>
      <c r="J19" s="191">
        <f>J20+J21+J22+J23+J24+J25</f>
        <v>0</v>
      </c>
      <c r="K19" s="190">
        <f>K20+K21+K22+K23+K24+K25</f>
        <v>0</v>
      </c>
      <c r="L19" s="140" t="s">
        <v>101</v>
      </c>
      <c r="M19" s="133">
        <f>(J19/I19)*100</f>
        <v>0</v>
      </c>
      <c r="N19" s="146" t="s">
        <v>25</v>
      </c>
      <c r="O19" s="190">
        <f>O20+O21+O22+O23+O24+O25</f>
        <v>0.285</v>
      </c>
      <c r="P19" s="190">
        <f>P20+P21+P22+P23+P24+P25</f>
        <v>0</v>
      </c>
      <c r="Q19" s="190">
        <f>Q20+Q21+Q22+Q23+Q24+Q25</f>
        <v>0</v>
      </c>
      <c r="R19" s="190">
        <f>O19-P19</f>
        <v>0.285</v>
      </c>
      <c r="S19" s="190"/>
      <c r="T19" s="551"/>
      <c r="U19" s="551"/>
      <c r="V19" s="551"/>
      <c r="W19" s="551"/>
      <c r="X19" s="551"/>
      <c r="Y19" s="552"/>
    </row>
    <row r="20" spans="1:25" s="155" customFormat="1" ht="45" customHeight="1" hidden="1">
      <c r="A20" s="192" t="s">
        <v>10</v>
      </c>
      <c r="B20" s="193" t="s">
        <v>92</v>
      </c>
      <c r="C20" s="194">
        <v>20.1</v>
      </c>
      <c r="D20" s="195"/>
      <c r="E20" s="195"/>
      <c r="F20" s="190">
        <f aca="true" t="shared" si="4" ref="F20:F25">C20-D20</f>
        <v>20.1</v>
      </c>
      <c r="G20" s="196">
        <f aca="true" t="shared" si="5" ref="G20:G25">(D20/C20)*100</f>
        <v>0</v>
      </c>
      <c r="H20" s="152" t="s">
        <v>25</v>
      </c>
      <c r="I20" s="197">
        <v>7.1</v>
      </c>
      <c r="J20" s="154"/>
      <c r="K20" s="174"/>
      <c r="L20" s="140">
        <f aca="true" t="shared" si="6" ref="L20:L25">I20-J20</f>
        <v>7.1</v>
      </c>
      <c r="M20" s="196">
        <f aca="true" t="shared" si="7" ref="M20:M25">(J20/I20)*100</f>
        <v>0</v>
      </c>
      <c r="N20" s="193" t="s">
        <v>25</v>
      </c>
      <c r="O20" s="198">
        <v>0.285</v>
      </c>
      <c r="P20" s="195"/>
      <c r="Q20" s="195"/>
      <c r="R20" s="190">
        <f aca="true" t="shared" si="8" ref="R20:R25">O20-P20</f>
        <v>0.285</v>
      </c>
      <c r="S20" s="190"/>
      <c r="T20" s="551"/>
      <c r="U20" s="551"/>
      <c r="V20" s="551"/>
      <c r="W20" s="551"/>
      <c r="X20" s="551"/>
      <c r="Y20" s="552"/>
    </row>
    <row r="21" spans="1:25" s="155" customFormat="1" ht="45" customHeight="1" hidden="1">
      <c r="A21" s="192" t="s">
        <v>93</v>
      </c>
      <c r="B21" s="193" t="s">
        <v>92</v>
      </c>
      <c r="C21" s="194">
        <v>3.9</v>
      </c>
      <c r="D21" s="195"/>
      <c r="E21" s="195"/>
      <c r="F21" s="190">
        <f t="shared" si="4"/>
        <v>3.9</v>
      </c>
      <c r="G21" s="196">
        <f t="shared" si="5"/>
        <v>0</v>
      </c>
      <c r="H21" s="152" t="s">
        <v>25</v>
      </c>
      <c r="I21" s="197">
        <v>3.7</v>
      </c>
      <c r="J21" s="174"/>
      <c r="K21" s="174"/>
      <c r="L21" s="140">
        <f t="shared" si="6"/>
        <v>3.7</v>
      </c>
      <c r="M21" s="196">
        <f t="shared" si="7"/>
        <v>0</v>
      </c>
      <c r="N21" s="193" t="s">
        <v>25</v>
      </c>
      <c r="O21" s="198">
        <v>0</v>
      </c>
      <c r="P21" s="195"/>
      <c r="Q21" s="195"/>
      <c r="R21" s="190">
        <f t="shared" si="8"/>
        <v>0</v>
      </c>
      <c r="S21" s="190"/>
      <c r="T21" s="551"/>
      <c r="U21" s="551"/>
      <c r="V21" s="551"/>
      <c r="W21" s="551"/>
      <c r="X21" s="551"/>
      <c r="Y21" s="552"/>
    </row>
    <row r="22" spans="1:25" s="155" customFormat="1" ht="45" customHeight="1" hidden="1">
      <c r="A22" s="192" t="s">
        <v>94</v>
      </c>
      <c r="B22" s="193" t="s">
        <v>92</v>
      </c>
      <c r="C22" s="194"/>
      <c r="D22" s="195"/>
      <c r="E22" s="195"/>
      <c r="F22" s="190">
        <f t="shared" si="4"/>
        <v>0</v>
      </c>
      <c r="G22" s="196" t="e">
        <f t="shared" si="5"/>
        <v>#DIV/0!</v>
      </c>
      <c r="H22" s="152" t="s">
        <v>25</v>
      </c>
      <c r="I22" s="199"/>
      <c r="J22" s="174"/>
      <c r="K22" s="174"/>
      <c r="L22" s="140">
        <f t="shared" si="6"/>
        <v>0</v>
      </c>
      <c r="M22" s="196" t="e">
        <f t="shared" si="7"/>
        <v>#DIV/0!</v>
      </c>
      <c r="N22" s="193" t="s">
        <v>25</v>
      </c>
      <c r="O22" s="194"/>
      <c r="P22" s="195"/>
      <c r="Q22" s="195"/>
      <c r="R22" s="190">
        <f t="shared" si="8"/>
        <v>0</v>
      </c>
      <c r="S22" s="190"/>
      <c r="T22" s="551"/>
      <c r="U22" s="551"/>
      <c r="V22" s="551"/>
      <c r="W22" s="551"/>
      <c r="X22" s="551"/>
      <c r="Y22" s="552"/>
    </row>
    <row r="23" spans="1:25" s="155" customFormat="1" ht="45" customHeight="1" hidden="1">
      <c r="A23" s="192" t="s">
        <v>95</v>
      </c>
      <c r="B23" s="193" t="s">
        <v>92</v>
      </c>
      <c r="C23" s="194"/>
      <c r="D23" s="195"/>
      <c r="E23" s="195"/>
      <c r="F23" s="190">
        <f t="shared" si="4"/>
        <v>0</v>
      </c>
      <c r="G23" s="196" t="e">
        <f t="shared" si="5"/>
        <v>#DIV/0!</v>
      </c>
      <c r="H23" s="152" t="s">
        <v>25</v>
      </c>
      <c r="I23" s="199"/>
      <c r="J23" s="199"/>
      <c r="K23" s="174"/>
      <c r="L23" s="140">
        <f t="shared" si="6"/>
        <v>0</v>
      </c>
      <c r="M23" s="196" t="e">
        <f t="shared" si="7"/>
        <v>#DIV/0!</v>
      </c>
      <c r="N23" s="193" t="s">
        <v>25</v>
      </c>
      <c r="O23" s="194"/>
      <c r="P23" s="195"/>
      <c r="Q23" s="195"/>
      <c r="R23" s="190">
        <f t="shared" si="8"/>
        <v>0</v>
      </c>
      <c r="S23" s="190"/>
      <c r="T23" s="551"/>
      <c r="U23" s="551"/>
      <c r="V23" s="551"/>
      <c r="W23" s="551"/>
      <c r="X23" s="551"/>
      <c r="Y23" s="552"/>
    </row>
    <row r="24" spans="1:25" s="155" customFormat="1" ht="45" customHeight="1" hidden="1">
      <c r="A24" s="192" t="s">
        <v>96</v>
      </c>
      <c r="B24" s="193" t="s">
        <v>92</v>
      </c>
      <c r="C24" s="198">
        <v>0.349</v>
      </c>
      <c r="D24" s="195"/>
      <c r="E24" s="200"/>
      <c r="F24" s="190">
        <f t="shared" si="4"/>
        <v>0.349</v>
      </c>
      <c r="G24" s="196">
        <f t="shared" si="5"/>
        <v>0</v>
      </c>
      <c r="H24" s="152" t="s">
        <v>25</v>
      </c>
      <c r="I24" s="199"/>
      <c r="J24" s="174"/>
      <c r="K24" s="174"/>
      <c r="L24" s="140">
        <f t="shared" si="6"/>
        <v>0</v>
      </c>
      <c r="M24" s="196" t="e">
        <f t="shared" si="7"/>
        <v>#DIV/0!</v>
      </c>
      <c r="N24" s="193" t="s">
        <v>25</v>
      </c>
      <c r="O24" s="194"/>
      <c r="P24" s="195"/>
      <c r="Q24" s="200"/>
      <c r="R24" s="190">
        <f t="shared" si="8"/>
        <v>0</v>
      </c>
      <c r="S24" s="190"/>
      <c r="T24" s="551"/>
      <c r="U24" s="551"/>
      <c r="V24" s="551"/>
      <c r="W24" s="551"/>
      <c r="X24" s="551"/>
      <c r="Y24" s="552"/>
    </row>
    <row r="25" spans="1:25" s="155" customFormat="1" ht="45" customHeight="1" hidden="1">
      <c r="A25" s="527" t="s">
        <v>97</v>
      </c>
      <c r="B25" s="193" t="s">
        <v>92</v>
      </c>
      <c r="C25" s="201">
        <v>0</v>
      </c>
      <c r="D25" s="190"/>
      <c r="E25" s="190"/>
      <c r="F25" s="190">
        <f t="shared" si="4"/>
        <v>0</v>
      </c>
      <c r="G25" s="196" t="e">
        <f t="shared" si="5"/>
        <v>#DIV/0!</v>
      </c>
      <c r="H25" s="152" t="s">
        <v>25</v>
      </c>
      <c r="I25" s="202">
        <v>0</v>
      </c>
      <c r="J25" s="203"/>
      <c r="K25" s="140"/>
      <c r="L25" s="140">
        <f t="shared" si="6"/>
        <v>0</v>
      </c>
      <c r="M25" s="196" t="e">
        <f t="shared" si="7"/>
        <v>#DIV/0!</v>
      </c>
      <c r="N25" s="193" t="s">
        <v>25</v>
      </c>
      <c r="O25" s="201">
        <v>0</v>
      </c>
      <c r="P25" s="190"/>
      <c r="Q25" s="190"/>
      <c r="R25" s="190">
        <f t="shared" si="8"/>
        <v>0</v>
      </c>
      <c r="S25" s="190"/>
      <c r="T25" s="551"/>
      <c r="U25" s="551"/>
      <c r="V25" s="551"/>
      <c r="W25" s="551"/>
      <c r="X25" s="551"/>
      <c r="Y25" s="552"/>
    </row>
    <row r="26" spans="1:25" s="155" customFormat="1" ht="22.5" customHeight="1" hidden="1">
      <c r="A26" s="204"/>
      <c r="B26" s="177"/>
      <c r="C26" s="178"/>
      <c r="D26" s="179"/>
      <c r="E26" s="179"/>
      <c r="F26" s="179"/>
      <c r="G26" s="180"/>
      <c r="H26" s="181"/>
      <c r="I26" s="182"/>
      <c r="J26" s="183"/>
      <c r="K26" s="184"/>
      <c r="L26" s="184"/>
      <c r="M26" s="180"/>
      <c r="N26" s="181"/>
      <c r="O26" s="184"/>
      <c r="P26" s="185"/>
      <c r="Q26" s="185"/>
      <c r="R26" s="184"/>
      <c r="S26" s="180"/>
      <c r="T26" s="551"/>
      <c r="U26" s="551"/>
      <c r="V26" s="551"/>
      <c r="W26" s="551"/>
      <c r="X26" s="551"/>
      <c r="Y26" s="552"/>
    </row>
    <row r="27" spans="1:25" s="155" customFormat="1" ht="22.5" customHeight="1" hidden="1">
      <c r="A27" s="204"/>
      <c r="B27" s="177"/>
      <c r="C27" s="178"/>
      <c r="D27" s="179"/>
      <c r="E27" s="179"/>
      <c r="F27" s="179"/>
      <c r="G27" s="180"/>
      <c r="H27" s="181"/>
      <c r="I27" s="182"/>
      <c r="J27" s="183"/>
      <c r="K27" s="184"/>
      <c r="L27" s="184"/>
      <c r="M27" s="180"/>
      <c r="N27" s="181"/>
      <c r="O27" s="184"/>
      <c r="P27" s="185"/>
      <c r="Q27" s="185"/>
      <c r="R27" s="184"/>
      <c r="S27" s="180"/>
      <c r="T27" s="551"/>
      <c r="U27" s="551"/>
      <c r="V27" s="551"/>
      <c r="W27" s="551"/>
      <c r="X27" s="551"/>
      <c r="Y27" s="552"/>
    </row>
    <row r="28" spans="1:25" s="155" customFormat="1" ht="22.5" customHeight="1" hidden="1">
      <c r="A28" s="204"/>
      <c r="B28" s="177"/>
      <c r="C28" s="178"/>
      <c r="D28" s="179"/>
      <c r="E28" s="179"/>
      <c r="F28" s="179"/>
      <c r="G28" s="180"/>
      <c r="H28" s="181"/>
      <c r="I28" s="182"/>
      <c r="J28" s="183"/>
      <c r="K28" s="184"/>
      <c r="L28" s="184"/>
      <c r="M28" s="180"/>
      <c r="N28" s="181"/>
      <c r="O28" s="184"/>
      <c r="P28" s="185"/>
      <c r="Q28" s="185"/>
      <c r="R28" s="184"/>
      <c r="S28" s="180"/>
      <c r="T28" s="551"/>
      <c r="U28" s="551"/>
      <c r="V28" s="551"/>
      <c r="W28" s="551"/>
      <c r="X28" s="551"/>
      <c r="Y28" s="552"/>
    </row>
    <row r="29" spans="1:25" ht="24.75" customHeight="1" hidden="1">
      <c r="A29" s="204"/>
      <c r="B29" s="176"/>
      <c r="C29" s="205"/>
      <c r="D29" s="205"/>
      <c r="E29" s="205"/>
      <c r="F29" s="206"/>
      <c r="G29" s="207"/>
      <c r="H29" s="207"/>
      <c r="I29" s="208"/>
      <c r="J29" s="209"/>
      <c r="K29" s="209"/>
      <c r="L29" s="210"/>
      <c r="M29" s="211"/>
      <c r="N29" s="209"/>
      <c r="O29" s="210"/>
      <c r="P29" s="209"/>
      <c r="Q29" s="209"/>
      <c r="R29" s="209"/>
      <c r="S29" s="210"/>
      <c r="T29" s="239"/>
      <c r="U29" s="239"/>
      <c r="V29" s="239"/>
      <c r="W29" s="239"/>
      <c r="X29" s="239"/>
      <c r="Y29" s="553"/>
    </row>
    <row r="30" spans="1:25" s="212" customFormat="1" ht="18" hidden="1">
      <c r="A30" s="799" t="s">
        <v>102</v>
      </c>
      <c r="B30" s="786" t="s">
        <v>103</v>
      </c>
      <c r="C30" s="786" t="s">
        <v>87</v>
      </c>
      <c r="D30" s="788" t="s">
        <v>104</v>
      </c>
      <c r="E30" s="789"/>
      <c r="F30" s="788" t="s">
        <v>105</v>
      </c>
      <c r="G30" s="789"/>
      <c r="H30" s="790" t="s">
        <v>106</v>
      </c>
      <c r="I30" s="791"/>
      <c r="J30" s="788" t="s">
        <v>107</v>
      </c>
      <c r="K30" s="789"/>
      <c r="L30" s="796" t="s">
        <v>108</v>
      </c>
      <c r="M30" s="797"/>
      <c r="N30" s="796" t="s">
        <v>109</v>
      </c>
      <c r="O30" s="797"/>
      <c r="P30" s="796" t="s">
        <v>110</v>
      </c>
      <c r="Q30" s="797"/>
      <c r="R30" s="798" t="s">
        <v>111</v>
      </c>
      <c r="S30" s="798"/>
      <c r="T30" s="793" t="s">
        <v>112</v>
      </c>
      <c r="U30" s="793"/>
      <c r="V30" s="793" t="s">
        <v>113</v>
      </c>
      <c r="W30" s="793"/>
      <c r="X30" s="793" t="s">
        <v>114</v>
      </c>
      <c r="Y30" s="794"/>
    </row>
    <row r="31" spans="1:25" s="212" customFormat="1" ht="18" hidden="1">
      <c r="A31" s="800"/>
      <c r="B31" s="787"/>
      <c r="C31" s="787"/>
      <c r="D31" s="203" t="s">
        <v>115</v>
      </c>
      <c r="E31" s="203" t="s">
        <v>17</v>
      </c>
      <c r="F31" s="203" t="s">
        <v>115</v>
      </c>
      <c r="G31" s="203" t="s">
        <v>17</v>
      </c>
      <c r="H31" s="203" t="s">
        <v>115</v>
      </c>
      <c r="I31" s="203" t="s">
        <v>17</v>
      </c>
      <c r="J31" s="203" t="s">
        <v>115</v>
      </c>
      <c r="K31" s="203" t="s">
        <v>17</v>
      </c>
      <c r="L31" s="203" t="s">
        <v>115</v>
      </c>
      <c r="M31" s="203" t="s">
        <v>17</v>
      </c>
      <c r="N31" s="203" t="s">
        <v>115</v>
      </c>
      <c r="O31" s="203" t="s">
        <v>17</v>
      </c>
      <c r="P31" s="203" t="s">
        <v>115</v>
      </c>
      <c r="Q31" s="203" t="s">
        <v>17</v>
      </c>
      <c r="R31" s="203" t="s">
        <v>115</v>
      </c>
      <c r="S31" s="203" t="s">
        <v>17</v>
      </c>
      <c r="T31" s="203" t="s">
        <v>115</v>
      </c>
      <c r="U31" s="203" t="s">
        <v>17</v>
      </c>
      <c r="V31" s="203" t="s">
        <v>115</v>
      </c>
      <c r="W31" s="203" t="s">
        <v>17</v>
      </c>
      <c r="X31" s="203" t="s">
        <v>115</v>
      </c>
      <c r="Y31" s="554" t="s">
        <v>17</v>
      </c>
    </row>
    <row r="32" spans="1:25" s="213" customFormat="1" ht="18" customHeight="1" hidden="1">
      <c r="A32" s="795" t="s">
        <v>91</v>
      </c>
      <c r="B32" s="531" t="s">
        <v>81</v>
      </c>
      <c r="C32" s="531" t="s">
        <v>25</v>
      </c>
      <c r="D32" s="203"/>
      <c r="E32" s="203"/>
      <c r="F32" s="203"/>
      <c r="G32" s="203"/>
      <c r="H32" s="203"/>
      <c r="I32" s="203"/>
      <c r="J32" s="203"/>
      <c r="K32" s="203"/>
      <c r="L32" s="530"/>
      <c r="M32" s="140"/>
      <c r="N32" s="530"/>
      <c r="O32" s="140"/>
      <c r="P32" s="530"/>
      <c r="Q32" s="140"/>
      <c r="R32" s="532"/>
      <c r="S32" s="530"/>
      <c r="T32" s="530"/>
      <c r="U32" s="530"/>
      <c r="V32" s="530"/>
      <c r="W32" s="530"/>
      <c r="X32" s="530"/>
      <c r="Y32" s="555"/>
    </row>
    <row r="33" spans="1:25" s="213" customFormat="1" ht="18" hidden="1">
      <c r="A33" s="795"/>
      <c r="B33" s="531" t="s">
        <v>83</v>
      </c>
      <c r="C33" s="531" t="s">
        <v>25</v>
      </c>
      <c r="D33" s="203"/>
      <c r="E33" s="203"/>
      <c r="F33" s="203"/>
      <c r="G33" s="203"/>
      <c r="H33" s="203"/>
      <c r="I33" s="203"/>
      <c r="J33" s="203"/>
      <c r="K33" s="203"/>
      <c r="L33" s="530"/>
      <c r="M33" s="203"/>
      <c r="N33" s="530"/>
      <c r="O33" s="203"/>
      <c r="P33" s="530"/>
      <c r="Q33" s="203"/>
      <c r="R33" s="532"/>
      <c r="S33" s="140"/>
      <c r="T33" s="140"/>
      <c r="U33" s="140"/>
      <c r="V33" s="140"/>
      <c r="W33" s="140"/>
      <c r="X33" s="140"/>
      <c r="Y33" s="556"/>
    </row>
    <row r="34" spans="1:25" s="213" customFormat="1" ht="18" hidden="1">
      <c r="A34" s="795"/>
      <c r="B34" s="531" t="s">
        <v>84</v>
      </c>
      <c r="C34" s="531" t="s">
        <v>25</v>
      </c>
      <c r="D34" s="203"/>
      <c r="E34" s="203"/>
      <c r="F34" s="203"/>
      <c r="G34" s="140"/>
      <c r="H34" s="203"/>
      <c r="I34" s="140"/>
      <c r="J34" s="140"/>
      <c r="K34" s="175"/>
      <c r="L34" s="530"/>
      <c r="M34" s="175"/>
      <c r="N34" s="530"/>
      <c r="O34" s="175"/>
      <c r="P34" s="140"/>
      <c r="Q34" s="175"/>
      <c r="R34" s="169"/>
      <c r="S34" s="169"/>
      <c r="T34" s="169"/>
      <c r="U34" s="169"/>
      <c r="V34" s="169"/>
      <c r="W34" s="169"/>
      <c r="X34" s="169"/>
      <c r="Y34" s="557"/>
    </row>
    <row r="35" spans="1:26" s="212" customFormat="1" ht="18" customHeight="1" hidden="1">
      <c r="A35" s="792" t="s">
        <v>10</v>
      </c>
      <c r="B35" s="214" t="s">
        <v>81</v>
      </c>
      <c r="C35" s="214" t="s">
        <v>25</v>
      </c>
      <c r="D35" s="203"/>
      <c r="E35" s="201"/>
      <c r="F35" s="203"/>
      <c r="G35" s="203"/>
      <c r="H35" s="215"/>
      <c r="I35" s="203"/>
      <c r="J35" s="203"/>
      <c r="K35" s="203"/>
      <c r="L35" s="530"/>
      <c r="M35" s="203"/>
      <c r="N35" s="530"/>
      <c r="O35" s="216"/>
      <c r="P35" s="530"/>
      <c r="Q35" s="203"/>
      <c r="R35" s="532"/>
      <c r="S35" s="203"/>
      <c r="T35" s="217"/>
      <c r="U35" s="218"/>
      <c r="V35" s="218"/>
      <c r="W35" s="218"/>
      <c r="X35" s="140"/>
      <c r="Y35" s="558"/>
      <c r="Z35" s="219">
        <f>E35+G35+I35+K35+M35+O35+Q35+S35+U35+W35+Y35</f>
        <v>0</v>
      </c>
    </row>
    <row r="36" spans="1:26" s="212" customFormat="1" ht="20.25" hidden="1">
      <c r="A36" s="792"/>
      <c r="B36" s="214" t="s">
        <v>83</v>
      </c>
      <c r="C36" s="214" t="s">
        <v>25</v>
      </c>
      <c r="D36" s="203"/>
      <c r="E36" s="201"/>
      <c r="F36" s="203"/>
      <c r="G36" s="203"/>
      <c r="H36" s="215"/>
      <c r="I36" s="203"/>
      <c r="J36" s="203"/>
      <c r="K36" s="220"/>
      <c r="L36" s="530"/>
      <c r="M36" s="203"/>
      <c r="N36" s="530"/>
      <c r="O36" s="216"/>
      <c r="P36" s="530"/>
      <c r="Q36" s="203"/>
      <c r="R36" s="532"/>
      <c r="S36" s="203"/>
      <c r="T36" s="221"/>
      <c r="U36" s="218"/>
      <c r="V36" s="218"/>
      <c r="W36" s="218"/>
      <c r="X36" s="140"/>
      <c r="Y36" s="558"/>
      <c r="Z36" s="219">
        <f aca="true" t="shared" si="9" ref="Z36:Z52">E36+G36+I36+K36+M36+O36+Q36+S36+U36+W36+Y36</f>
        <v>0</v>
      </c>
    </row>
    <row r="37" spans="1:26" s="212" customFormat="1" ht="20.25" hidden="1">
      <c r="A37" s="792"/>
      <c r="B37" s="214" t="s">
        <v>84</v>
      </c>
      <c r="C37" s="214" t="s">
        <v>25</v>
      </c>
      <c r="D37" s="203"/>
      <c r="E37" s="201"/>
      <c r="F37" s="203"/>
      <c r="G37" s="203"/>
      <c r="H37" s="215"/>
      <c r="I37" s="203"/>
      <c r="J37" s="203"/>
      <c r="K37" s="203"/>
      <c r="L37" s="530"/>
      <c r="M37" s="140"/>
      <c r="N37" s="530"/>
      <c r="O37" s="175"/>
      <c r="P37" s="530"/>
      <c r="Q37" s="140"/>
      <c r="R37" s="169"/>
      <c r="S37" s="140"/>
      <c r="T37" s="221"/>
      <c r="U37" s="218"/>
      <c r="V37" s="218"/>
      <c r="W37" s="218"/>
      <c r="X37" s="175"/>
      <c r="Y37" s="558"/>
      <c r="Z37" s="222">
        <f t="shared" si="9"/>
        <v>0</v>
      </c>
    </row>
    <row r="38" spans="1:26" s="212" customFormat="1" ht="18" customHeight="1" hidden="1">
      <c r="A38" s="792" t="s">
        <v>93</v>
      </c>
      <c r="B38" s="214" t="s">
        <v>81</v>
      </c>
      <c r="C38" s="214" t="s">
        <v>25</v>
      </c>
      <c r="D38" s="203"/>
      <c r="E38" s="201"/>
      <c r="F38" s="203"/>
      <c r="G38" s="203"/>
      <c r="H38" s="215"/>
      <c r="I38" s="203"/>
      <c r="J38" s="203"/>
      <c r="K38" s="203"/>
      <c r="L38" s="530"/>
      <c r="M38" s="203"/>
      <c r="N38" s="530"/>
      <c r="O38" s="203"/>
      <c r="P38" s="530"/>
      <c r="Q38" s="140"/>
      <c r="R38" s="532"/>
      <c r="S38" s="203"/>
      <c r="T38" s="223"/>
      <c r="U38" s="218"/>
      <c r="V38" s="218"/>
      <c r="W38" s="218"/>
      <c r="X38" s="140"/>
      <c r="Y38" s="558"/>
      <c r="Z38" s="219">
        <f t="shared" si="9"/>
        <v>0</v>
      </c>
    </row>
    <row r="39" spans="1:26" s="212" customFormat="1" ht="20.25" hidden="1">
      <c r="A39" s="792"/>
      <c r="B39" s="214" t="s">
        <v>83</v>
      </c>
      <c r="C39" s="214" t="s">
        <v>25</v>
      </c>
      <c r="D39" s="203"/>
      <c r="E39" s="201"/>
      <c r="F39" s="220"/>
      <c r="G39" s="203"/>
      <c r="H39" s="224"/>
      <c r="I39" s="203"/>
      <c r="J39" s="203"/>
      <c r="K39" s="220"/>
      <c r="L39" s="530"/>
      <c r="M39" s="203"/>
      <c r="N39" s="530"/>
      <c r="O39" s="203"/>
      <c r="P39" s="530"/>
      <c r="Q39" s="203"/>
      <c r="R39" s="532"/>
      <c r="S39" s="203"/>
      <c r="T39" s="223"/>
      <c r="U39" s="218"/>
      <c r="V39" s="218"/>
      <c r="W39" s="218"/>
      <c r="X39" s="140"/>
      <c r="Y39" s="558"/>
      <c r="Z39" s="219">
        <f t="shared" si="9"/>
        <v>0</v>
      </c>
    </row>
    <row r="40" spans="1:26" s="212" customFormat="1" ht="20.25" hidden="1">
      <c r="A40" s="792"/>
      <c r="B40" s="214" t="s">
        <v>84</v>
      </c>
      <c r="C40" s="214" t="s">
        <v>25</v>
      </c>
      <c r="D40" s="203"/>
      <c r="E40" s="201"/>
      <c r="F40" s="203"/>
      <c r="G40" s="140"/>
      <c r="H40" s="215"/>
      <c r="I40" s="140"/>
      <c r="J40" s="203"/>
      <c r="K40" s="203"/>
      <c r="L40" s="140"/>
      <c r="M40" s="175"/>
      <c r="N40" s="530"/>
      <c r="O40" s="175"/>
      <c r="P40" s="530"/>
      <c r="Q40" s="175"/>
      <c r="R40" s="169"/>
      <c r="S40" s="203"/>
      <c r="T40" s="225"/>
      <c r="U40" s="218"/>
      <c r="V40" s="218"/>
      <c r="W40" s="218"/>
      <c r="X40" s="175"/>
      <c r="Y40" s="558"/>
      <c r="Z40" s="222">
        <f t="shared" si="9"/>
        <v>0</v>
      </c>
    </row>
    <row r="41" spans="1:26" s="212" customFormat="1" ht="18" customHeight="1" hidden="1">
      <c r="A41" s="792" t="s">
        <v>94</v>
      </c>
      <c r="B41" s="214" t="s">
        <v>81</v>
      </c>
      <c r="C41" s="214" t="s">
        <v>25</v>
      </c>
      <c r="D41" s="203"/>
      <c r="E41" s="201"/>
      <c r="F41" s="220"/>
      <c r="G41" s="203"/>
      <c r="H41" s="224"/>
      <c r="I41" s="203"/>
      <c r="J41" s="203"/>
      <c r="K41" s="203"/>
      <c r="L41" s="530"/>
      <c r="M41" s="203"/>
      <c r="N41" s="530"/>
      <c r="O41" s="203"/>
      <c r="P41" s="530"/>
      <c r="Q41" s="203"/>
      <c r="R41" s="532"/>
      <c r="S41" s="203"/>
      <c r="T41" s="226"/>
      <c r="U41" s="218"/>
      <c r="V41" s="218"/>
      <c r="W41" s="218"/>
      <c r="X41" s="140"/>
      <c r="Y41" s="558"/>
      <c r="Z41" s="219">
        <f t="shared" si="9"/>
        <v>0</v>
      </c>
    </row>
    <row r="42" spans="1:26" s="212" customFormat="1" ht="20.25" hidden="1">
      <c r="A42" s="792"/>
      <c r="B42" s="214" t="s">
        <v>83</v>
      </c>
      <c r="C42" s="214" t="s">
        <v>25</v>
      </c>
      <c r="D42" s="203"/>
      <c r="E42" s="201"/>
      <c r="F42" s="220"/>
      <c r="G42" s="203"/>
      <c r="H42" s="224"/>
      <c r="I42" s="203"/>
      <c r="J42" s="203"/>
      <c r="K42" s="203"/>
      <c r="L42" s="530"/>
      <c r="M42" s="203"/>
      <c r="N42" s="530"/>
      <c r="O42" s="203"/>
      <c r="P42" s="530"/>
      <c r="Q42" s="203"/>
      <c r="R42" s="532"/>
      <c r="S42" s="203"/>
      <c r="T42" s="226"/>
      <c r="U42" s="218"/>
      <c r="V42" s="218"/>
      <c r="W42" s="218"/>
      <c r="X42" s="140"/>
      <c r="Y42" s="558"/>
      <c r="Z42" s="219">
        <f t="shared" si="9"/>
        <v>0</v>
      </c>
    </row>
    <row r="43" spans="1:26" s="212" customFormat="1" ht="20.25" hidden="1">
      <c r="A43" s="792"/>
      <c r="B43" s="214" t="s">
        <v>84</v>
      </c>
      <c r="C43" s="214" t="s">
        <v>25</v>
      </c>
      <c r="D43" s="203"/>
      <c r="E43" s="201"/>
      <c r="F43" s="203"/>
      <c r="G43" s="203"/>
      <c r="H43" s="227"/>
      <c r="I43" s="203"/>
      <c r="J43" s="203"/>
      <c r="K43" s="203"/>
      <c r="L43" s="530"/>
      <c r="M43" s="140"/>
      <c r="N43" s="530"/>
      <c r="O43" s="175"/>
      <c r="P43" s="530"/>
      <c r="Q43" s="175"/>
      <c r="R43" s="169"/>
      <c r="S43" s="203"/>
      <c r="T43" s="226"/>
      <c r="U43" s="218"/>
      <c r="V43" s="218"/>
      <c r="W43" s="218"/>
      <c r="X43" s="140"/>
      <c r="Y43" s="558"/>
      <c r="Z43" s="219">
        <f t="shared" si="9"/>
        <v>0</v>
      </c>
    </row>
    <row r="44" spans="1:26" s="212" customFormat="1" ht="18" customHeight="1" hidden="1">
      <c r="A44" s="792" t="s">
        <v>95</v>
      </c>
      <c r="B44" s="214" t="s">
        <v>81</v>
      </c>
      <c r="C44" s="214" t="s">
        <v>25</v>
      </c>
      <c r="D44" s="203"/>
      <c r="E44" s="201"/>
      <c r="F44" s="220"/>
      <c r="G44" s="203"/>
      <c r="H44" s="224"/>
      <c r="I44" s="203"/>
      <c r="J44" s="203"/>
      <c r="K44" s="203"/>
      <c r="L44" s="530"/>
      <c r="M44" s="203"/>
      <c r="N44" s="530"/>
      <c r="O44" s="203"/>
      <c r="P44" s="530"/>
      <c r="Q44" s="203"/>
      <c r="R44" s="532"/>
      <c r="S44" s="203"/>
      <c r="T44" s="221"/>
      <c r="U44" s="218"/>
      <c r="V44" s="218"/>
      <c r="W44" s="218"/>
      <c r="X44" s="140"/>
      <c r="Y44" s="558"/>
      <c r="Z44" s="219">
        <f t="shared" si="9"/>
        <v>0</v>
      </c>
    </row>
    <row r="45" spans="1:26" s="212" customFormat="1" ht="20.25" hidden="1">
      <c r="A45" s="792"/>
      <c r="B45" s="214" t="s">
        <v>83</v>
      </c>
      <c r="C45" s="214" t="s">
        <v>25</v>
      </c>
      <c r="D45" s="203"/>
      <c r="E45" s="201"/>
      <c r="F45" s="220"/>
      <c r="G45" s="203"/>
      <c r="H45" s="224"/>
      <c r="I45" s="203"/>
      <c r="J45" s="203"/>
      <c r="K45" s="203"/>
      <c r="L45" s="530"/>
      <c r="M45" s="203"/>
      <c r="N45" s="530"/>
      <c r="O45" s="203"/>
      <c r="P45" s="530"/>
      <c r="Q45" s="203"/>
      <c r="R45" s="532"/>
      <c r="S45" s="203"/>
      <c r="T45" s="221"/>
      <c r="U45" s="218"/>
      <c r="V45" s="218"/>
      <c r="W45" s="218"/>
      <c r="X45" s="140"/>
      <c r="Y45" s="558"/>
      <c r="Z45" s="219">
        <f t="shared" si="9"/>
        <v>0</v>
      </c>
    </row>
    <row r="46" spans="1:26" s="212" customFormat="1" ht="20.25" hidden="1">
      <c r="A46" s="792"/>
      <c r="B46" s="214" t="s">
        <v>84</v>
      </c>
      <c r="C46" s="214" t="s">
        <v>25</v>
      </c>
      <c r="D46" s="203"/>
      <c r="E46" s="201"/>
      <c r="F46" s="203"/>
      <c r="G46" s="203"/>
      <c r="H46" s="215"/>
      <c r="I46" s="203"/>
      <c r="J46" s="203"/>
      <c r="K46" s="140"/>
      <c r="L46" s="530"/>
      <c r="M46" s="175"/>
      <c r="N46" s="530"/>
      <c r="O46" s="140"/>
      <c r="P46" s="530"/>
      <c r="Q46" s="175"/>
      <c r="R46" s="169"/>
      <c r="S46" s="175"/>
      <c r="T46" s="228"/>
      <c r="U46" s="218"/>
      <c r="V46" s="218"/>
      <c r="W46" s="218"/>
      <c r="X46" s="175"/>
      <c r="Y46" s="558"/>
      <c r="Z46" s="222">
        <f t="shared" si="9"/>
        <v>0</v>
      </c>
    </row>
    <row r="47" spans="1:26" s="212" customFormat="1" ht="18" customHeight="1" hidden="1">
      <c r="A47" s="792" t="s">
        <v>96</v>
      </c>
      <c r="B47" s="214" t="s">
        <v>81</v>
      </c>
      <c r="C47" s="214" t="s">
        <v>25</v>
      </c>
      <c r="D47" s="203"/>
      <c r="E47" s="201"/>
      <c r="F47" s="220"/>
      <c r="G47" s="203"/>
      <c r="H47" s="224"/>
      <c r="I47" s="203"/>
      <c r="J47" s="203"/>
      <c r="K47" s="203"/>
      <c r="L47" s="530"/>
      <c r="M47" s="203"/>
      <c r="N47" s="530"/>
      <c r="O47" s="203"/>
      <c r="P47" s="530"/>
      <c r="Q47" s="203"/>
      <c r="R47" s="532"/>
      <c r="S47" s="203"/>
      <c r="T47" s="221"/>
      <c r="U47" s="218"/>
      <c r="V47" s="218"/>
      <c r="W47" s="218"/>
      <c r="X47" s="140"/>
      <c r="Y47" s="558"/>
      <c r="Z47" s="219">
        <f t="shared" si="9"/>
        <v>0</v>
      </c>
    </row>
    <row r="48" spans="1:26" s="212" customFormat="1" ht="20.25" hidden="1">
      <c r="A48" s="792"/>
      <c r="B48" s="214" t="s">
        <v>83</v>
      </c>
      <c r="C48" s="214" t="s">
        <v>25</v>
      </c>
      <c r="D48" s="203"/>
      <c r="E48" s="201"/>
      <c r="F48" s="203"/>
      <c r="G48" s="203"/>
      <c r="H48" s="224"/>
      <c r="I48" s="203"/>
      <c r="J48" s="203"/>
      <c r="K48" s="229"/>
      <c r="L48" s="530"/>
      <c r="M48" s="203"/>
      <c r="N48" s="530"/>
      <c r="O48" s="203"/>
      <c r="P48" s="530"/>
      <c r="Q48" s="203"/>
      <c r="R48" s="532"/>
      <c r="S48" s="203"/>
      <c r="T48" s="221"/>
      <c r="U48" s="218"/>
      <c r="V48" s="218"/>
      <c r="W48" s="218"/>
      <c r="X48" s="140"/>
      <c r="Y48" s="558"/>
      <c r="Z48" s="219">
        <f t="shared" si="9"/>
        <v>0</v>
      </c>
    </row>
    <row r="49" spans="1:26" s="212" customFormat="1" ht="20.25" hidden="1">
      <c r="A49" s="792"/>
      <c r="B49" s="214" t="s">
        <v>84</v>
      </c>
      <c r="C49" s="214" t="s">
        <v>25</v>
      </c>
      <c r="D49" s="203"/>
      <c r="E49" s="201"/>
      <c r="F49" s="203"/>
      <c r="G49" s="203"/>
      <c r="H49" s="215"/>
      <c r="I49" s="203"/>
      <c r="J49" s="203"/>
      <c r="K49" s="203"/>
      <c r="L49" s="530"/>
      <c r="M49" s="203"/>
      <c r="N49" s="530"/>
      <c r="O49" s="203"/>
      <c r="P49" s="530"/>
      <c r="Q49" s="140"/>
      <c r="R49" s="169"/>
      <c r="S49" s="203"/>
      <c r="T49" s="221"/>
      <c r="U49" s="218"/>
      <c r="V49" s="218"/>
      <c r="W49" s="218"/>
      <c r="X49" s="140"/>
      <c r="Y49" s="558"/>
      <c r="Z49" s="222">
        <f t="shared" si="9"/>
        <v>0</v>
      </c>
    </row>
    <row r="50" spans="1:26" s="212" customFormat="1" ht="18" customHeight="1" hidden="1">
      <c r="A50" s="792" t="s">
        <v>97</v>
      </c>
      <c r="B50" s="214" t="s">
        <v>81</v>
      </c>
      <c r="C50" s="214" t="s">
        <v>25</v>
      </c>
      <c r="D50" s="203"/>
      <c r="E50" s="201"/>
      <c r="F50" s="203"/>
      <c r="G50" s="203"/>
      <c r="H50" s="215"/>
      <c r="I50" s="203"/>
      <c r="J50" s="203"/>
      <c r="K50" s="203"/>
      <c r="L50" s="530"/>
      <c r="M50" s="203"/>
      <c r="N50" s="530"/>
      <c r="O50" s="203"/>
      <c r="P50" s="530"/>
      <c r="Q50" s="203"/>
      <c r="R50" s="532"/>
      <c r="S50" s="203"/>
      <c r="T50" s="221"/>
      <c r="U50" s="218"/>
      <c r="V50" s="218"/>
      <c r="W50" s="218"/>
      <c r="X50" s="140"/>
      <c r="Y50" s="558"/>
      <c r="Z50" s="219">
        <f t="shared" si="9"/>
        <v>0</v>
      </c>
    </row>
    <row r="51" spans="1:26" s="212" customFormat="1" ht="20.25" hidden="1">
      <c r="A51" s="792"/>
      <c r="B51" s="214" t="s">
        <v>83</v>
      </c>
      <c r="C51" s="214" t="s">
        <v>25</v>
      </c>
      <c r="D51" s="203"/>
      <c r="E51" s="201"/>
      <c r="F51" s="203"/>
      <c r="G51" s="203"/>
      <c r="H51" s="215"/>
      <c r="I51" s="203"/>
      <c r="J51" s="203"/>
      <c r="K51" s="203"/>
      <c r="L51" s="530"/>
      <c r="M51" s="203"/>
      <c r="N51" s="530"/>
      <c r="O51" s="203"/>
      <c r="P51" s="530"/>
      <c r="Q51" s="203"/>
      <c r="R51" s="532"/>
      <c r="S51" s="203"/>
      <c r="T51" s="221"/>
      <c r="U51" s="218"/>
      <c r="V51" s="218"/>
      <c r="W51" s="218"/>
      <c r="X51" s="140"/>
      <c r="Y51" s="558"/>
      <c r="Z51" s="219">
        <f t="shared" si="9"/>
        <v>0</v>
      </c>
    </row>
    <row r="52" spans="1:26" s="212" customFormat="1" ht="20.25" hidden="1">
      <c r="A52" s="792"/>
      <c r="B52" s="214" t="s">
        <v>84</v>
      </c>
      <c r="C52" s="214" t="s">
        <v>25</v>
      </c>
      <c r="D52" s="203"/>
      <c r="E52" s="201"/>
      <c r="F52" s="203"/>
      <c r="G52" s="203"/>
      <c r="H52" s="215"/>
      <c r="I52" s="203"/>
      <c r="J52" s="203"/>
      <c r="K52" s="203"/>
      <c r="L52" s="530"/>
      <c r="M52" s="203"/>
      <c r="N52" s="530"/>
      <c r="O52" s="203"/>
      <c r="P52" s="530"/>
      <c r="Q52" s="175"/>
      <c r="R52" s="532"/>
      <c r="S52" s="140"/>
      <c r="T52" s="221"/>
      <c r="U52" s="218"/>
      <c r="V52" s="218"/>
      <c r="W52" s="218"/>
      <c r="X52" s="175"/>
      <c r="Y52" s="558"/>
      <c r="Z52" s="222">
        <f t="shared" si="9"/>
        <v>0</v>
      </c>
    </row>
    <row r="53" spans="1:25" ht="15" hidden="1">
      <c r="A53" s="204"/>
      <c r="B53" s="230"/>
      <c r="C53" s="231"/>
      <c r="D53" s="205"/>
      <c r="E53" s="205"/>
      <c r="F53" s="205"/>
      <c r="G53" s="206"/>
      <c r="H53" s="207"/>
      <c r="I53" s="207"/>
      <c r="J53" s="208"/>
      <c r="K53" s="209"/>
      <c r="L53" s="210"/>
      <c r="M53" s="211"/>
      <c r="N53" s="209"/>
      <c r="O53" s="210"/>
      <c r="P53" s="209"/>
      <c r="Q53" s="209"/>
      <c r="R53" s="209"/>
      <c r="S53" s="232"/>
      <c r="T53" s="239"/>
      <c r="U53" s="239"/>
      <c r="V53" s="239"/>
      <c r="W53" s="239"/>
      <c r="X53" s="239"/>
      <c r="Y53" s="553"/>
    </row>
    <row r="54" spans="1:25" ht="15.75" hidden="1">
      <c r="A54" s="559"/>
      <c r="B54" s="239"/>
      <c r="C54" s="239"/>
      <c r="D54" s="239"/>
      <c r="E54" s="560"/>
      <c r="F54" s="561"/>
      <c r="G54" s="561"/>
      <c r="H54" s="561"/>
      <c r="I54" s="561"/>
      <c r="J54" s="561"/>
      <c r="K54" s="561"/>
      <c r="L54" s="561"/>
      <c r="M54" s="561"/>
      <c r="N54" s="561"/>
      <c r="O54" s="561"/>
      <c r="P54" s="561"/>
      <c r="Q54" s="561"/>
      <c r="R54" s="561"/>
      <c r="S54" s="239"/>
      <c r="T54" s="239"/>
      <c r="U54" s="239"/>
      <c r="V54" s="239"/>
      <c r="W54" s="239"/>
      <c r="X54" s="239"/>
      <c r="Y54" s="553"/>
    </row>
    <row r="55" spans="1:25" ht="23.25" hidden="1">
      <c r="A55" s="562"/>
      <c r="B55" s="237"/>
      <c r="C55" s="237"/>
      <c r="D55" s="233" t="s">
        <v>81</v>
      </c>
      <c r="E55" s="563">
        <f>E32+G32+I32+K32+M32+O32+Q32+S32+U32+W32+Y32</f>
        <v>0</v>
      </c>
      <c r="F55" s="236"/>
      <c r="G55" s="234" t="s">
        <v>83</v>
      </c>
      <c r="H55" s="564">
        <f>E33+G33+I33+K33+M33+O33+Q33+S33+U33+W33+Y33</f>
        <v>0</v>
      </c>
      <c r="I55" s="236"/>
      <c r="J55" s="235" t="s">
        <v>84</v>
      </c>
      <c r="K55" s="565">
        <f>E34+G34+I34+K34+M34+O34+Q34+S34+U34+W34+Y34</f>
        <v>0</v>
      </c>
      <c r="L55" s="237"/>
      <c r="M55" s="237"/>
      <c r="N55" s="237"/>
      <c r="O55" s="237"/>
      <c r="P55" s="237"/>
      <c r="Q55" s="237"/>
      <c r="R55" s="237"/>
      <c r="S55" s="237"/>
      <c r="T55" s="239"/>
      <c r="U55" s="239"/>
      <c r="V55" s="239"/>
      <c r="W55" s="239"/>
      <c r="X55" s="239"/>
      <c r="Y55" s="553"/>
    </row>
    <row r="56" spans="1:25" ht="23.25" hidden="1">
      <c r="A56" s="562"/>
      <c r="B56" s="237"/>
      <c r="C56" s="237"/>
      <c r="D56" s="236"/>
      <c r="E56" s="236"/>
      <c r="F56" s="236"/>
      <c r="G56" s="236"/>
      <c r="H56" s="236"/>
      <c r="I56" s="236"/>
      <c r="J56" s="236"/>
      <c r="K56" s="236"/>
      <c r="L56" s="237"/>
      <c r="M56" s="237"/>
      <c r="N56" s="237"/>
      <c r="O56" s="238"/>
      <c r="P56" s="237"/>
      <c r="Q56" s="237"/>
      <c r="R56" s="237"/>
      <c r="S56" s="237"/>
      <c r="T56" s="239"/>
      <c r="U56" s="239"/>
      <c r="V56" s="239"/>
      <c r="W56" s="239"/>
      <c r="X56" s="239"/>
      <c r="Y56" s="553"/>
    </row>
    <row r="57" spans="1:25" ht="84.75" customHeight="1" thickBot="1">
      <c r="A57" s="566"/>
      <c r="B57" s="240"/>
      <c r="C57" s="240"/>
      <c r="D57" s="648">
        <f>0.2+2.27</f>
        <v>2.47</v>
      </c>
      <c r="E57" s="240"/>
      <c r="F57" s="240"/>
      <c r="G57" s="240"/>
      <c r="H57" s="240"/>
      <c r="I57" s="240"/>
      <c r="J57" s="240"/>
      <c r="K57" s="240"/>
      <c r="L57" s="240"/>
      <c r="M57" s="241"/>
      <c r="N57" s="240"/>
      <c r="O57" s="242"/>
      <c r="P57" s="240"/>
      <c r="Q57" s="240"/>
      <c r="R57" s="240"/>
      <c r="S57" s="240"/>
      <c r="T57" s="239"/>
      <c r="U57" s="239"/>
      <c r="V57" s="239"/>
      <c r="W57" s="239"/>
      <c r="X57" s="239"/>
      <c r="Y57" s="553"/>
    </row>
    <row r="58" spans="1:31" s="141" customFormat="1" ht="34.5" customHeight="1">
      <c r="A58" s="528" t="s">
        <v>91</v>
      </c>
      <c r="B58" s="594" t="s">
        <v>116</v>
      </c>
      <c r="C58" s="595"/>
      <c r="D58" s="596"/>
      <c r="E58" s="596"/>
      <c r="F58" s="595">
        <f aca="true" t="shared" si="10" ref="F58:F64">C58-D58</f>
        <v>0</v>
      </c>
      <c r="G58" s="597"/>
      <c r="H58" s="594" t="s">
        <v>116</v>
      </c>
      <c r="I58" s="595"/>
      <c r="J58" s="598"/>
      <c r="K58" s="596"/>
      <c r="L58" s="599">
        <f>L59+L60+L61+L62+L63+L64</f>
        <v>86.91056000000049</v>
      </c>
      <c r="M58" s="597"/>
      <c r="N58" s="594" t="s">
        <v>25</v>
      </c>
      <c r="O58" s="600"/>
      <c r="P58" s="601"/>
      <c r="Q58" s="601"/>
      <c r="R58" s="599">
        <f>O58-P58</f>
        <v>0</v>
      </c>
      <c r="S58" s="602"/>
      <c r="T58" s="594" t="s">
        <v>116</v>
      </c>
      <c r="U58" s="603"/>
      <c r="V58" s="601"/>
      <c r="W58" s="601"/>
      <c r="X58" s="604">
        <f>U58-V58</f>
        <v>0</v>
      </c>
      <c r="Y58" s="575" t="e">
        <f aca="true" t="shared" si="11" ref="Y58:Y64">(V58/U58)*100</f>
        <v>#DIV/0!</v>
      </c>
      <c r="Z58" s="537" t="s">
        <v>25</v>
      </c>
      <c r="AA58" s="139">
        <f>AA59+AA60+AA61+AA62+AA63+AA64</f>
        <v>356.188</v>
      </c>
      <c r="AB58" s="139">
        <f>AB59+AB60+AB61+AB62+AB63+AB64</f>
        <v>0</v>
      </c>
      <c r="AC58" s="139">
        <f>AC59+AC60+AC61+AC62+AC63+AC64</f>
        <v>0</v>
      </c>
      <c r="AD58" s="140">
        <f>AA58-AB58</f>
        <v>356.188</v>
      </c>
      <c r="AE58" s="137">
        <f>(AB58/AA58)*100</f>
        <v>0</v>
      </c>
    </row>
    <row r="59" spans="1:31" s="145" customFormat="1" ht="45" customHeight="1" thickBot="1">
      <c r="A59" s="567" t="s">
        <v>10</v>
      </c>
      <c r="B59" s="568" t="s">
        <v>116</v>
      </c>
      <c r="C59" s="569">
        <v>854.9967719999997</v>
      </c>
      <c r="D59" s="569">
        <f>692.889125+2.47+1.14+1.14+2.72+1.14</f>
        <v>701.499125</v>
      </c>
      <c r="E59" s="569">
        <f>E9*2.27</f>
        <v>0</v>
      </c>
      <c r="F59" s="569">
        <f>C59-D59</f>
        <v>153.4976469999997</v>
      </c>
      <c r="G59" s="570">
        <f>(D59/C59)*100</f>
        <v>82.04699104992648</v>
      </c>
      <c r="H59" s="568" t="s">
        <v>116</v>
      </c>
      <c r="I59" s="571">
        <v>730.9660000000005</v>
      </c>
      <c r="J59" s="568">
        <v>644.05544</v>
      </c>
      <c r="K59" s="568">
        <v>0</v>
      </c>
      <c r="L59" s="568">
        <f>I59-J59</f>
        <v>86.91056000000049</v>
      </c>
      <c r="M59" s="570">
        <f>(J59/I59)*100</f>
        <v>88.11017749115548</v>
      </c>
      <c r="N59" s="568" t="s">
        <v>25</v>
      </c>
      <c r="O59" s="568">
        <v>14.568</v>
      </c>
      <c r="P59" s="572">
        <v>6</v>
      </c>
      <c r="Q59" s="568">
        <v>0</v>
      </c>
      <c r="R59" s="568">
        <f>O59-P59</f>
        <v>8.568</v>
      </c>
      <c r="S59" s="573">
        <f aca="true" t="shared" si="12" ref="S59:S64">(P59/O59)*100</f>
        <v>41.18616144975288</v>
      </c>
      <c r="T59" s="568" t="s">
        <v>116</v>
      </c>
      <c r="U59" s="568">
        <v>157.38896350000002</v>
      </c>
      <c r="V59" s="568">
        <v>118.03830200000002</v>
      </c>
      <c r="W59" s="574">
        <v>0</v>
      </c>
      <c r="X59" s="605">
        <f>U59-V59</f>
        <v>39.3506615</v>
      </c>
      <c r="Y59" s="593">
        <f t="shared" si="11"/>
        <v>74.99782664239987</v>
      </c>
      <c r="Z59" s="538" t="s">
        <v>92</v>
      </c>
      <c r="AA59" s="142">
        <v>5</v>
      </c>
      <c r="AB59" s="143"/>
      <c r="AC59" s="143"/>
      <c r="AD59" s="130">
        <f aca="true" t="shared" si="13" ref="AD59:AD64">AA59-AB59</f>
        <v>5</v>
      </c>
      <c r="AE59" s="144">
        <f aca="true" t="shared" si="14" ref="AE59:AE64">(AB59/AA59)*100</f>
        <v>0</v>
      </c>
    </row>
    <row r="60" spans="1:31" s="155" customFormat="1" ht="45" customHeight="1" hidden="1">
      <c r="A60" s="540" t="s">
        <v>93</v>
      </c>
      <c r="B60" s="541" t="s">
        <v>116</v>
      </c>
      <c r="C60" s="542"/>
      <c r="D60" s="542"/>
      <c r="E60" s="543"/>
      <c r="F60" s="544">
        <f t="shared" si="10"/>
        <v>0</v>
      </c>
      <c r="G60" s="545" t="e">
        <f>(D60/C60)*100</f>
        <v>#DIV/0!</v>
      </c>
      <c r="H60" s="541" t="s">
        <v>116</v>
      </c>
      <c r="I60" s="546"/>
      <c r="J60" s="547"/>
      <c r="K60" s="541"/>
      <c r="L60" s="548">
        <f>I60-J60</f>
        <v>0</v>
      </c>
      <c r="M60" s="545" t="e">
        <f>(J60/I60)*100</f>
        <v>#DIV/0!</v>
      </c>
      <c r="N60" s="541" t="s">
        <v>25</v>
      </c>
      <c r="O60" s="548"/>
      <c r="P60" s="549"/>
      <c r="Q60" s="547"/>
      <c r="R60" s="548">
        <f>O60-P60</f>
        <v>0</v>
      </c>
      <c r="S60" s="545" t="e">
        <f t="shared" si="12"/>
        <v>#DIV/0!</v>
      </c>
      <c r="T60" s="541" t="s">
        <v>116</v>
      </c>
      <c r="U60" s="541"/>
      <c r="V60" s="547"/>
      <c r="W60" s="547"/>
      <c r="X60" s="548">
        <f>U60-V60</f>
        <v>0</v>
      </c>
      <c r="Y60" s="550" t="e">
        <f t="shared" si="11"/>
        <v>#DIV/0!</v>
      </c>
      <c r="Z60" s="152" t="s">
        <v>92</v>
      </c>
      <c r="AA60" s="153">
        <v>65.998</v>
      </c>
      <c r="AB60" s="153"/>
      <c r="AC60" s="154"/>
      <c r="AD60" s="140">
        <f t="shared" si="13"/>
        <v>65.998</v>
      </c>
      <c r="AE60" s="151">
        <f t="shared" si="14"/>
        <v>0</v>
      </c>
    </row>
    <row r="61" spans="1:31" s="155" customFormat="1" ht="45" customHeight="1" hidden="1">
      <c r="A61" s="156" t="s">
        <v>94</v>
      </c>
      <c r="B61" s="130" t="s">
        <v>116</v>
      </c>
      <c r="C61" s="157"/>
      <c r="D61" s="158"/>
      <c r="E61" s="159"/>
      <c r="F61" s="131">
        <f t="shared" si="10"/>
        <v>0</v>
      </c>
      <c r="G61" s="133" t="e">
        <f>(D61/C61)*100</f>
        <v>#DIV/0!</v>
      </c>
      <c r="H61" s="130" t="s">
        <v>116</v>
      </c>
      <c r="I61" s="160"/>
      <c r="J61" s="142"/>
      <c r="K61" s="142"/>
      <c r="L61" s="135">
        <f>I61-J61</f>
        <v>0</v>
      </c>
      <c r="M61" s="133" t="e">
        <f>(J61/I61)*100</f>
        <v>#DIV/0!</v>
      </c>
      <c r="N61" s="130" t="s">
        <v>25</v>
      </c>
      <c r="O61" s="161"/>
      <c r="P61" s="143"/>
      <c r="Q61" s="162"/>
      <c r="R61" s="135">
        <f>O61-P61</f>
        <v>0</v>
      </c>
      <c r="S61" s="137" t="e">
        <f t="shared" si="12"/>
        <v>#DIV/0!</v>
      </c>
      <c r="T61" s="130" t="s">
        <v>116</v>
      </c>
      <c r="U61" s="163"/>
      <c r="V61" s="162"/>
      <c r="W61" s="162"/>
      <c r="X61" s="135">
        <f>U61-V61</f>
        <v>0</v>
      </c>
      <c r="Y61" s="151" t="e">
        <f t="shared" si="11"/>
        <v>#DIV/0!</v>
      </c>
      <c r="Z61" s="152" t="s">
        <v>92</v>
      </c>
      <c r="AA61" s="153">
        <v>107.171</v>
      </c>
      <c r="AB61" s="153"/>
      <c r="AC61" s="154"/>
      <c r="AD61" s="140">
        <f t="shared" si="13"/>
        <v>107.171</v>
      </c>
      <c r="AE61" s="151">
        <f t="shared" si="14"/>
        <v>0</v>
      </c>
    </row>
    <row r="62" spans="1:31" s="155" customFormat="1" ht="45" customHeight="1" hidden="1">
      <c r="A62" s="156" t="s">
        <v>95</v>
      </c>
      <c r="B62" s="130" t="s">
        <v>116</v>
      </c>
      <c r="C62" s="131"/>
      <c r="D62" s="164"/>
      <c r="E62" s="164"/>
      <c r="F62" s="131">
        <f t="shared" si="10"/>
        <v>0</v>
      </c>
      <c r="G62" s="133" t="e">
        <f>(D62/C62)*100</f>
        <v>#DIV/0!</v>
      </c>
      <c r="H62" s="130" t="s">
        <v>116</v>
      </c>
      <c r="I62" s="165"/>
      <c r="J62" s="166"/>
      <c r="K62" s="167"/>
      <c r="L62" s="135">
        <f>I62-J62</f>
        <v>0</v>
      </c>
      <c r="M62" s="133" t="e">
        <f>(J62/I62)*100</f>
        <v>#DIV/0!</v>
      </c>
      <c r="N62" s="130" t="s">
        <v>25</v>
      </c>
      <c r="O62" s="135"/>
      <c r="P62" s="168"/>
      <c r="Q62" s="168"/>
      <c r="R62" s="135">
        <f>O62-P62</f>
        <v>0</v>
      </c>
      <c r="S62" s="137" t="e">
        <f t="shared" si="12"/>
        <v>#DIV/0!</v>
      </c>
      <c r="T62" s="130" t="s">
        <v>116</v>
      </c>
      <c r="U62" s="169"/>
      <c r="V62" s="167"/>
      <c r="W62" s="170"/>
      <c r="X62" s="135">
        <f>U62-V62</f>
        <v>0</v>
      </c>
      <c r="Y62" s="151" t="e">
        <f t="shared" si="11"/>
        <v>#DIV/0!</v>
      </c>
      <c r="Z62" s="152" t="s">
        <v>92</v>
      </c>
      <c r="AA62" s="153">
        <v>60.9</v>
      </c>
      <c r="AB62" s="153"/>
      <c r="AC62" s="153"/>
      <c r="AD62" s="140">
        <f t="shared" si="13"/>
        <v>60.9</v>
      </c>
      <c r="AE62" s="151">
        <f t="shared" si="14"/>
        <v>0</v>
      </c>
    </row>
    <row r="63" spans="1:31" s="155" customFormat="1" ht="45" customHeight="1" hidden="1">
      <c r="A63" s="156" t="s">
        <v>96</v>
      </c>
      <c r="B63" s="130" t="s">
        <v>116</v>
      </c>
      <c r="C63" s="157"/>
      <c r="D63" s="159"/>
      <c r="E63" s="159"/>
      <c r="F63" s="131">
        <f t="shared" si="10"/>
        <v>0</v>
      </c>
      <c r="G63" s="133" t="e">
        <f>(D63/C63)*100</f>
        <v>#DIV/0!</v>
      </c>
      <c r="H63" s="130" t="s">
        <v>116</v>
      </c>
      <c r="I63" s="171"/>
      <c r="J63" s="142"/>
      <c r="K63" s="142"/>
      <c r="L63" s="135">
        <f>I63-J63</f>
        <v>0</v>
      </c>
      <c r="M63" s="133" t="e">
        <f>(J63/I63)*100</f>
        <v>#DIV/0!</v>
      </c>
      <c r="N63" s="130" t="s">
        <v>25</v>
      </c>
      <c r="O63" s="172"/>
      <c r="P63" s="142"/>
      <c r="Q63" s="162"/>
      <c r="R63" s="135">
        <f>O63-P63</f>
        <v>0</v>
      </c>
      <c r="S63" s="137" t="e">
        <f t="shared" si="12"/>
        <v>#DIV/0!</v>
      </c>
      <c r="T63" s="130" t="s">
        <v>116</v>
      </c>
      <c r="U63" s="173"/>
      <c r="V63" s="142"/>
      <c r="W63" s="162"/>
      <c r="X63" s="135">
        <f>U63-V63</f>
        <v>0</v>
      </c>
      <c r="Y63" s="151" t="e">
        <f t="shared" si="11"/>
        <v>#DIV/0!</v>
      </c>
      <c r="Z63" s="152" t="s">
        <v>92</v>
      </c>
      <c r="AA63" s="153">
        <v>38.419</v>
      </c>
      <c r="AB63" s="174"/>
      <c r="AC63" s="154"/>
      <c r="AD63" s="140">
        <f t="shared" si="13"/>
        <v>38.419</v>
      </c>
      <c r="AE63" s="151">
        <f t="shared" si="14"/>
        <v>0</v>
      </c>
    </row>
    <row r="64" spans="1:31" s="155" customFormat="1" ht="45" customHeight="1" hidden="1">
      <c r="A64" s="146" t="s">
        <v>97</v>
      </c>
      <c r="B64" s="130" t="s">
        <v>116</v>
      </c>
      <c r="C64" s="159"/>
      <c r="D64" s="159"/>
      <c r="E64" s="132"/>
      <c r="F64" s="131">
        <f t="shared" si="10"/>
        <v>0</v>
      </c>
      <c r="G64" s="133" t="e">
        <f>(D64/C64)*100</f>
        <v>#DIV/0!</v>
      </c>
      <c r="H64" s="130" t="s">
        <v>116</v>
      </c>
      <c r="I64" s="165"/>
      <c r="J64" s="135"/>
      <c r="K64" s="130"/>
      <c r="L64" s="135">
        <f>I64-J64</f>
        <v>0</v>
      </c>
      <c r="M64" s="133" t="e">
        <f>(J64/I64)*100</f>
        <v>#DIV/0!</v>
      </c>
      <c r="N64" s="130" t="s">
        <v>25</v>
      </c>
      <c r="O64" s="169"/>
      <c r="P64" s="150"/>
      <c r="Q64" s="150"/>
      <c r="R64" s="135">
        <f>O64-P64</f>
        <v>0</v>
      </c>
      <c r="S64" s="137" t="e">
        <f t="shared" si="12"/>
        <v>#DIV/0!</v>
      </c>
      <c r="T64" s="130" t="s">
        <v>116</v>
      </c>
      <c r="U64" s="135"/>
      <c r="V64" s="248"/>
      <c r="W64" s="149"/>
      <c r="X64" s="135">
        <f>U64-V64</f>
        <v>0</v>
      </c>
      <c r="Y64" s="151" t="e">
        <f t="shared" si="11"/>
        <v>#DIV/0!</v>
      </c>
      <c r="Z64" s="152" t="s">
        <v>92</v>
      </c>
      <c r="AA64" s="175">
        <v>78.7</v>
      </c>
      <c r="AB64" s="175"/>
      <c r="AC64" s="175"/>
      <c r="AD64" s="140">
        <f t="shared" si="13"/>
        <v>78.7</v>
      </c>
      <c r="AE64" s="151">
        <f t="shared" si="14"/>
        <v>0</v>
      </c>
    </row>
    <row r="65" ht="12.75" hidden="1"/>
    <row r="66" ht="12.75" hidden="1"/>
    <row r="70" spans="2:20" ht="20.25">
      <c r="B70" s="535"/>
      <c r="C70" s="535"/>
      <c r="D70" s="687">
        <f>0.2+0.35+0.2+0.3+0.25+0.2+0.3+0.2+0.5+0.5+1.2</f>
        <v>4.2</v>
      </c>
      <c r="E70" s="535"/>
      <c r="F70" s="535"/>
      <c r="G70" s="535"/>
      <c r="H70" s="535" t="s">
        <v>377</v>
      </c>
      <c r="I70" s="535"/>
      <c r="J70" s="535"/>
      <c r="K70" s="535"/>
      <c r="L70" s="535"/>
      <c r="M70" s="535"/>
      <c r="N70" s="535" t="s">
        <v>378</v>
      </c>
      <c r="O70" s="535"/>
      <c r="P70" s="535"/>
      <c r="Q70" s="535"/>
      <c r="R70" s="535"/>
      <c r="T70" s="535"/>
    </row>
  </sheetData>
  <sheetProtection/>
  <mergeCells count="72">
    <mergeCell ref="A44:A46"/>
    <mergeCell ref="A47:A49"/>
    <mergeCell ref="A50:A52"/>
    <mergeCell ref="V30:W30"/>
    <mergeCell ref="X30:Y30"/>
    <mergeCell ref="A32:A34"/>
    <mergeCell ref="A35:A37"/>
    <mergeCell ref="A38:A40"/>
    <mergeCell ref="A41:A43"/>
    <mergeCell ref="J30:K30"/>
    <mergeCell ref="L30:M30"/>
    <mergeCell ref="N30:O30"/>
    <mergeCell ref="P30:Q30"/>
    <mergeCell ref="R30:S30"/>
    <mergeCell ref="T30:U30"/>
    <mergeCell ref="A30:A31"/>
    <mergeCell ref="B30:B31"/>
    <mergeCell ref="C30:C31"/>
    <mergeCell ref="D30:E30"/>
    <mergeCell ref="F30:G30"/>
    <mergeCell ref="H30:I30"/>
    <mergeCell ref="S16:S18"/>
    <mergeCell ref="B17:B18"/>
    <mergeCell ref="C17:C18"/>
    <mergeCell ref="D17:E17"/>
    <mergeCell ref="F17:F18"/>
    <mergeCell ref="H17:H18"/>
    <mergeCell ref="I17:I18"/>
    <mergeCell ref="J17:K17"/>
    <mergeCell ref="L17:L18"/>
    <mergeCell ref="N16:R16"/>
    <mergeCell ref="A5:A7"/>
    <mergeCell ref="J6:K6"/>
    <mergeCell ref="L6:L7"/>
    <mergeCell ref="N6:N7"/>
    <mergeCell ref="O6:O7"/>
    <mergeCell ref="O5:R5"/>
    <mergeCell ref="A16:A18"/>
    <mergeCell ref="B16:F16"/>
    <mergeCell ref="G16:G18"/>
    <mergeCell ref="H16:L16"/>
    <mergeCell ref="M16:M18"/>
    <mergeCell ref="S5:S7"/>
    <mergeCell ref="U5:X5"/>
    <mergeCell ref="Y5:Y7"/>
    <mergeCell ref="B6:B7"/>
    <mergeCell ref="C6:C7"/>
    <mergeCell ref="D6:E6"/>
    <mergeCell ref="F6:F7"/>
    <mergeCell ref="H6:H7"/>
    <mergeCell ref="B5:F5"/>
    <mergeCell ref="G5:G7"/>
    <mergeCell ref="H5:L5"/>
    <mergeCell ref="M5:M7"/>
    <mergeCell ref="I6:I7"/>
    <mergeCell ref="R6:R7"/>
    <mergeCell ref="P6:Q6"/>
    <mergeCell ref="AA5:AD5"/>
    <mergeCell ref="AE5:AE7"/>
    <mergeCell ref="T6:T7"/>
    <mergeCell ref="U6:U7"/>
    <mergeCell ref="V6:W6"/>
    <mergeCell ref="X6:X7"/>
    <mergeCell ref="Z6:Z7"/>
    <mergeCell ref="AA6:AA7"/>
    <mergeCell ref="AB6:AC6"/>
    <mergeCell ref="AD6:AD7"/>
    <mergeCell ref="A1:S1"/>
    <mergeCell ref="A2:I2"/>
    <mergeCell ref="A3:S3"/>
    <mergeCell ref="F4:I4"/>
    <mergeCell ref="N4:P4"/>
  </mergeCells>
  <printOptions/>
  <pageMargins left="0.1968503937007874" right="0.2362204724409449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7"/>
  <sheetViews>
    <sheetView view="pageBreakPreview" zoomScale="55" zoomScaleSheetLayoutView="55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71" sqref="F71"/>
    </sheetView>
  </sheetViews>
  <sheetFormatPr defaultColWidth="9.00390625" defaultRowHeight="12.75"/>
  <cols>
    <col min="1" max="1" width="33.625" style="57" customWidth="1"/>
    <col min="2" max="2" width="13.00390625" style="57" customWidth="1"/>
    <col min="3" max="3" width="15.25390625" style="57" customWidth="1"/>
    <col min="4" max="4" width="13.125" style="57" customWidth="1"/>
    <col min="5" max="5" width="14.75390625" style="57" customWidth="1"/>
    <col min="6" max="6" width="12.875" style="57" customWidth="1"/>
    <col min="7" max="7" width="11.25390625" style="57" customWidth="1"/>
    <col min="8" max="8" width="12.375" style="57" customWidth="1"/>
    <col min="9" max="9" width="15.25390625" style="57" customWidth="1"/>
    <col min="10" max="10" width="13.125" style="57" customWidth="1"/>
    <col min="11" max="11" width="13.625" style="57" customWidth="1"/>
    <col min="12" max="12" width="14.375" style="57" customWidth="1"/>
    <col min="13" max="13" width="10.25390625" style="57" customWidth="1"/>
    <col min="14" max="14" width="11.00390625" style="57" customWidth="1"/>
    <col min="15" max="15" width="15.25390625" style="57" customWidth="1"/>
    <col min="16" max="17" width="13.125" style="57" customWidth="1"/>
    <col min="18" max="18" width="9.25390625" style="57" customWidth="1"/>
    <col min="19" max="19" width="12.25390625" style="57" customWidth="1"/>
    <col min="20" max="20" width="10.875" style="57" customWidth="1"/>
    <col min="21" max="21" width="15.25390625" style="57" customWidth="1"/>
    <col min="22" max="22" width="13.125" style="57" customWidth="1"/>
    <col min="23" max="23" width="12.625" style="57" customWidth="1"/>
    <col min="24" max="24" width="11.375" style="57" customWidth="1"/>
    <col min="25" max="25" width="12.875" style="57" hidden="1" customWidth="1"/>
    <col min="26" max="26" width="11.125" style="57" hidden="1" customWidth="1"/>
    <col min="27" max="27" width="15.25390625" style="57" hidden="1" customWidth="1"/>
    <col min="28" max="28" width="13.125" style="57" hidden="1" customWidth="1"/>
    <col min="29" max="29" width="9.125" style="57" hidden="1" customWidth="1"/>
    <col min="30" max="30" width="12.625" style="57" hidden="1" customWidth="1"/>
    <col min="31" max="31" width="9.125" style="57" hidden="1" customWidth="1"/>
    <col min="32" max="33" width="0" style="57" hidden="1" customWidth="1"/>
    <col min="34" max="16384" width="9.125" style="57" customWidth="1"/>
  </cols>
  <sheetData>
    <row r="1" spans="1:19" ht="30" customHeight="1">
      <c r="A1" s="760" t="s">
        <v>78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  <c r="Q1" s="760"/>
      <c r="R1" s="760"/>
      <c r="S1" s="760"/>
    </row>
    <row r="2" spans="1:9" ht="21" customHeight="1">
      <c r="A2" s="761"/>
      <c r="B2" s="761"/>
      <c r="C2" s="761"/>
      <c r="D2" s="761"/>
      <c r="E2" s="761"/>
      <c r="F2" s="761"/>
      <c r="G2" s="761"/>
      <c r="H2" s="761"/>
      <c r="I2" s="761"/>
    </row>
    <row r="3" spans="1:19" ht="21" customHeight="1">
      <c r="A3" s="762" t="s">
        <v>79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2"/>
    </row>
    <row r="4" spans="1:19" ht="27" thickBot="1">
      <c r="A4" s="128"/>
      <c r="B4" s="128"/>
      <c r="C4" s="128"/>
      <c r="D4" s="128"/>
      <c r="E4" s="128"/>
      <c r="F4" s="763"/>
      <c r="G4" s="763"/>
      <c r="H4" s="763"/>
      <c r="I4" s="763"/>
      <c r="N4" s="815" t="s">
        <v>260</v>
      </c>
      <c r="O4" s="815"/>
      <c r="P4" s="815"/>
      <c r="Q4" s="815"/>
      <c r="R4" s="815"/>
      <c r="S4" s="815"/>
    </row>
    <row r="5" spans="1:31" ht="30" customHeight="1">
      <c r="A5" s="801" t="s">
        <v>80</v>
      </c>
      <c r="B5" s="802" t="s">
        <v>81</v>
      </c>
      <c r="C5" s="802"/>
      <c r="D5" s="802"/>
      <c r="E5" s="802"/>
      <c r="F5" s="802"/>
      <c r="G5" s="769" t="s">
        <v>82</v>
      </c>
      <c r="H5" s="802" t="s">
        <v>83</v>
      </c>
      <c r="I5" s="802"/>
      <c r="J5" s="802"/>
      <c r="K5" s="802"/>
      <c r="L5" s="802"/>
      <c r="M5" s="769" t="s">
        <v>82</v>
      </c>
      <c r="N5" s="524"/>
      <c r="O5" s="802" t="s">
        <v>84</v>
      </c>
      <c r="P5" s="803"/>
      <c r="Q5" s="803"/>
      <c r="R5" s="803"/>
      <c r="S5" s="769" t="s">
        <v>82</v>
      </c>
      <c r="T5" s="524"/>
      <c r="U5" s="802" t="s">
        <v>32</v>
      </c>
      <c r="V5" s="803"/>
      <c r="W5" s="803"/>
      <c r="X5" s="803"/>
      <c r="Y5" s="769" t="s">
        <v>82</v>
      </c>
      <c r="Z5" s="536"/>
      <c r="AA5" s="765" t="s">
        <v>86</v>
      </c>
      <c r="AB5" s="766"/>
      <c r="AC5" s="766"/>
      <c r="AD5" s="766"/>
      <c r="AE5" s="767" t="s">
        <v>82</v>
      </c>
    </row>
    <row r="6" spans="1:31" ht="15" customHeight="1">
      <c r="A6" s="801"/>
      <c r="B6" s="769" t="s">
        <v>87</v>
      </c>
      <c r="C6" s="770" t="s">
        <v>7</v>
      </c>
      <c r="D6" s="770" t="s">
        <v>88</v>
      </c>
      <c r="E6" s="770"/>
      <c r="F6" s="770" t="s">
        <v>89</v>
      </c>
      <c r="G6" s="769"/>
      <c r="H6" s="769" t="s">
        <v>87</v>
      </c>
      <c r="I6" s="770" t="s">
        <v>7</v>
      </c>
      <c r="J6" s="770" t="s">
        <v>88</v>
      </c>
      <c r="K6" s="770"/>
      <c r="L6" s="770" t="s">
        <v>89</v>
      </c>
      <c r="M6" s="769"/>
      <c r="N6" s="769" t="s">
        <v>87</v>
      </c>
      <c r="O6" s="770" t="s">
        <v>7</v>
      </c>
      <c r="P6" s="770" t="s">
        <v>88</v>
      </c>
      <c r="Q6" s="770"/>
      <c r="R6" s="770" t="s">
        <v>89</v>
      </c>
      <c r="S6" s="769"/>
      <c r="T6" s="769" t="s">
        <v>87</v>
      </c>
      <c r="U6" s="770" t="s">
        <v>7</v>
      </c>
      <c r="V6" s="770" t="s">
        <v>88</v>
      </c>
      <c r="W6" s="770"/>
      <c r="X6" s="770" t="s">
        <v>89</v>
      </c>
      <c r="Y6" s="769"/>
      <c r="Z6" s="772" t="s">
        <v>87</v>
      </c>
      <c r="AA6" s="770" t="s">
        <v>7</v>
      </c>
      <c r="AB6" s="770" t="s">
        <v>88</v>
      </c>
      <c r="AC6" s="770"/>
      <c r="AD6" s="770" t="s">
        <v>89</v>
      </c>
      <c r="AE6" s="768"/>
    </row>
    <row r="7" spans="1:31" ht="45">
      <c r="A7" s="801"/>
      <c r="B7" s="769"/>
      <c r="C7" s="770"/>
      <c r="D7" s="525" t="s">
        <v>41</v>
      </c>
      <c r="E7" s="525" t="s">
        <v>90</v>
      </c>
      <c r="F7" s="770"/>
      <c r="G7" s="769"/>
      <c r="H7" s="769"/>
      <c r="I7" s="770"/>
      <c r="J7" s="525" t="s">
        <v>41</v>
      </c>
      <c r="K7" s="525" t="s">
        <v>90</v>
      </c>
      <c r="L7" s="770"/>
      <c r="M7" s="769"/>
      <c r="N7" s="769"/>
      <c r="O7" s="770"/>
      <c r="P7" s="525" t="s">
        <v>41</v>
      </c>
      <c r="Q7" s="525" t="s">
        <v>90</v>
      </c>
      <c r="R7" s="770"/>
      <c r="S7" s="769"/>
      <c r="T7" s="769"/>
      <c r="U7" s="770"/>
      <c r="V7" s="525" t="s">
        <v>41</v>
      </c>
      <c r="W7" s="525" t="s">
        <v>90</v>
      </c>
      <c r="X7" s="770"/>
      <c r="Y7" s="769"/>
      <c r="Z7" s="772"/>
      <c r="AA7" s="770"/>
      <c r="AB7" s="129" t="s">
        <v>41</v>
      </c>
      <c r="AC7" s="129" t="s">
        <v>90</v>
      </c>
      <c r="AD7" s="770"/>
      <c r="AE7" s="768"/>
    </row>
    <row r="8" spans="1:31" s="141" customFormat="1" ht="34.5" customHeight="1">
      <c r="A8" s="146" t="s">
        <v>91</v>
      </c>
      <c r="B8" s="130" t="s">
        <v>25</v>
      </c>
      <c r="C8" s="131"/>
      <c r="D8" s="132"/>
      <c r="E8" s="132"/>
      <c r="F8" s="131">
        <f aca="true" t="shared" si="0" ref="F8:F14">C8-D8</f>
        <v>0</v>
      </c>
      <c r="G8" s="133" t="e">
        <f>(D8/C8)*100</f>
        <v>#DIV/0!</v>
      </c>
      <c r="H8" s="130" t="s">
        <v>25</v>
      </c>
      <c r="I8" s="131"/>
      <c r="J8" s="134"/>
      <c r="K8" s="132"/>
      <c r="L8" s="135"/>
      <c r="M8" s="133" t="e">
        <f>(J8/I8)*100</f>
        <v>#DIV/0!</v>
      </c>
      <c r="N8" s="130" t="s">
        <v>25</v>
      </c>
      <c r="O8" s="131"/>
      <c r="P8" s="136"/>
      <c r="Q8" s="136"/>
      <c r="R8" s="135"/>
      <c r="S8" s="133" t="e">
        <f>(P8/O8)*100</f>
        <v>#DIV/0!</v>
      </c>
      <c r="T8" s="130" t="s">
        <v>25</v>
      </c>
      <c r="U8" s="138"/>
      <c r="V8" s="136"/>
      <c r="W8" s="136"/>
      <c r="X8" s="135">
        <f>U8-V8</f>
        <v>0</v>
      </c>
      <c r="Y8" s="133" t="e">
        <f aca="true" t="shared" si="1" ref="Y8:Y14">(V8/U8)*100</f>
        <v>#DIV/0!</v>
      </c>
      <c r="Z8" s="537" t="s">
        <v>25</v>
      </c>
      <c r="AA8" s="139">
        <f>AA9+AA10+AA11+AA12+AA13+AA14</f>
        <v>356.188</v>
      </c>
      <c r="AB8" s="139">
        <f>AB9+AB10+AB11+AB12+AB13+AB14</f>
        <v>0</v>
      </c>
      <c r="AC8" s="139">
        <f>AC9+AC10+AC11+AC12+AC13+AC14</f>
        <v>0</v>
      </c>
      <c r="AD8" s="140">
        <f>AA8-AB8</f>
        <v>356.188</v>
      </c>
      <c r="AE8" s="137">
        <f>(AB8/AA8)*100</f>
        <v>0</v>
      </c>
    </row>
    <row r="9" spans="1:31" s="145" customFormat="1" ht="45" customHeight="1">
      <c r="A9" s="244" t="s">
        <v>10</v>
      </c>
      <c r="B9" s="244" t="s">
        <v>25</v>
      </c>
      <c r="C9" s="132"/>
      <c r="D9" s="132"/>
      <c r="E9" s="132"/>
      <c r="F9" s="132">
        <f>C9-D9</f>
        <v>0</v>
      </c>
      <c r="G9" s="245" t="e">
        <f>(D9/C9)*100</f>
        <v>#DIV/0!</v>
      </c>
      <c r="H9" s="130" t="s">
        <v>25</v>
      </c>
      <c r="I9" s="616"/>
      <c r="J9" s="149"/>
      <c r="K9" s="130"/>
      <c r="L9" s="130"/>
      <c r="M9" s="245" t="e">
        <f>(J9/I9)*100</f>
        <v>#DIV/0!</v>
      </c>
      <c r="N9" s="130" t="s">
        <v>25</v>
      </c>
      <c r="O9" s="130"/>
      <c r="P9" s="150"/>
      <c r="Q9" s="130"/>
      <c r="R9" s="130"/>
      <c r="S9" s="245" t="e">
        <f>(P9/O9)*100</f>
        <v>#DIV/0!</v>
      </c>
      <c r="T9" s="246" t="s">
        <v>25</v>
      </c>
      <c r="U9" s="246"/>
      <c r="V9" s="617"/>
      <c r="W9" s="618"/>
      <c r="X9" s="246">
        <f>U9-V9</f>
        <v>0</v>
      </c>
      <c r="Y9" s="619" t="e">
        <f>(V9/U9)*100</f>
        <v>#DIV/0!</v>
      </c>
      <c r="Z9" s="538" t="s">
        <v>92</v>
      </c>
      <c r="AA9" s="142">
        <v>5</v>
      </c>
      <c r="AB9" s="143"/>
      <c r="AC9" s="143"/>
      <c r="AD9" s="130">
        <f aca="true" t="shared" si="2" ref="AD9:AD14">AA9-AB9</f>
        <v>5</v>
      </c>
      <c r="AE9" s="144">
        <f aca="true" t="shared" si="3" ref="AE9:AE14">(AB9/AA9)*100</f>
        <v>0</v>
      </c>
    </row>
    <row r="10" spans="1:31" s="155" customFormat="1" ht="45" customHeight="1" hidden="1">
      <c r="A10" s="146" t="s">
        <v>93</v>
      </c>
      <c r="B10" s="130" t="s">
        <v>25</v>
      </c>
      <c r="C10" s="138"/>
      <c r="D10" s="147"/>
      <c r="E10" s="132"/>
      <c r="F10" s="131">
        <f t="shared" si="0"/>
        <v>0</v>
      </c>
      <c r="G10" s="133" t="e">
        <f>(D10/C10)*100</f>
        <v>#DIV/0!</v>
      </c>
      <c r="H10" s="130" t="s">
        <v>25</v>
      </c>
      <c r="I10" s="148"/>
      <c r="J10" s="149"/>
      <c r="K10" s="130"/>
      <c r="L10" s="135"/>
      <c r="M10" s="133" t="e">
        <f>(J10/I10)*100</f>
        <v>#DIV/0!</v>
      </c>
      <c r="N10" s="130" t="s">
        <v>25</v>
      </c>
      <c r="O10" s="135"/>
      <c r="P10" s="150"/>
      <c r="Q10" s="149"/>
      <c r="R10" s="135"/>
      <c r="S10" s="133" t="e">
        <f>(P10/O10)*100</f>
        <v>#DIV/0!</v>
      </c>
      <c r="T10" s="130" t="s">
        <v>25</v>
      </c>
      <c r="U10" s="135"/>
      <c r="V10" s="149"/>
      <c r="W10" s="149"/>
      <c r="X10" s="135">
        <f>U10-V10</f>
        <v>0</v>
      </c>
      <c r="Y10" s="196" t="e">
        <f t="shared" si="1"/>
        <v>#DIV/0!</v>
      </c>
      <c r="Z10" s="539" t="s">
        <v>92</v>
      </c>
      <c r="AA10" s="153">
        <v>65.998</v>
      </c>
      <c r="AB10" s="153"/>
      <c r="AC10" s="154"/>
      <c r="AD10" s="140">
        <f t="shared" si="2"/>
        <v>65.998</v>
      </c>
      <c r="AE10" s="151">
        <f t="shared" si="3"/>
        <v>0</v>
      </c>
    </row>
    <row r="11" spans="1:31" s="155" customFormat="1" ht="45" customHeight="1" hidden="1">
      <c r="A11" s="146" t="s">
        <v>94</v>
      </c>
      <c r="B11" s="130" t="s">
        <v>25</v>
      </c>
      <c r="C11" s="138"/>
      <c r="D11" s="147"/>
      <c r="E11" s="132"/>
      <c r="F11" s="131">
        <f t="shared" si="0"/>
        <v>0</v>
      </c>
      <c r="G11" s="133" t="e">
        <f>(D11/C11)*100</f>
        <v>#DIV/0!</v>
      </c>
      <c r="H11" s="130" t="s">
        <v>25</v>
      </c>
      <c r="I11" s="148"/>
      <c r="J11" s="130"/>
      <c r="K11" s="130"/>
      <c r="L11" s="135"/>
      <c r="M11" s="133" t="e">
        <f>(J11/I11)*100</f>
        <v>#DIV/0!</v>
      </c>
      <c r="N11" s="130" t="s">
        <v>25</v>
      </c>
      <c r="O11" s="169"/>
      <c r="P11" s="150"/>
      <c r="Q11" s="149"/>
      <c r="R11" s="135"/>
      <c r="S11" s="133" t="e">
        <f>(P11/O11)*100</f>
        <v>#DIV/0!</v>
      </c>
      <c r="T11" s="130" t="s">
        <v>25</v>
      </c>
      <c r="U11" s="248"/>
      <c r="V11" s="149"/>
      <c r="W11" s="149"/>
      <c r="X11" s="135">
        <f>U11-V11</f>
        <v>0</v>
      </c>
      <c r="Y11" s="196" t="e">
        <f t="shared" si="1"/>
        <v>#DIV/0!</v>
      </c>
      <c r="Z11" s="539" t="s">
        <v>92</v>
      </c>
      <c r="AA11" s="153">
        <v>107.171</v>
      </c>
      <c r="AB11" s="153"/>
      <c r="AC11" s="154"/>
      <c r="AD11" s="140">
        <f t="shared" si="2"/>
        <v>107.171</v>
      </c>
      <c r="AE11" s="151">
        <f t="shared" si="3"/>
        <v>0</v>
      </c>
    </row>
    <row r="12" spans="1:31" s="155" customFormat="1" ht="45" customHeight="1" hidden="1">
      <c r="A12" s="146" t="s">
        <v>95</v>
      </c>
      <c r="B12" s="130" t="s">
        <v>25</v>
      </c>
      <c r="C12" s="131"/>
      <c r="D12" s="164"/>
      <c r="E12" s="164"/>
      <c r="F12" s="131">
        <f t="shared" si="0"/>
        <v>0</v>
      </c>
      <c r="G12" s="133" t="e">
        <f>(D12/C12)*100</f>
        <v>#DIV/0!</v>
      </c>
      <c r="H12" s="130" t="s">
        <v>25</v>
      </c>
      <c r="I12" s="165"/>
      <c r="J12" s="166"/>
      <c r="K12" s="167"/>
      <c r="L12" s="135"/>
      <c r="M12" s="133" t="e">
        <f>(J12/I12)*100</f>
        <v>#DIV/0!</v>
      </c>
      <c r="N12" s="130" t="s">
        <v>25</v>
      </c>
      <c r="O12" s="135"/>
      <c r="P12" s="168"/>
      <c r="Q12" s="168"/>
      <c r="R12" s="135"/>
      <c r="S12" s="133" t="e">
        <f>(P12/O12)*100</f>
        <v>#DIV/0!</v>
      </c>
      <c r="T12" s="130" t="s">
        <v>25</v>
      </c>
      <c r="U12" s="169"/>
      <c r="V12" s="167"/>
      <c r="W12" s="620"/>
      <c r="X12" s="135">
        <f>U12-V12</f>
        <v>0</v>
      </c>
      <c r="Y12" s="196" t="e">
        <f t="shared" si="1"/>
        <v>#DIV/0!</v>
      </c>
      <c r="Z12" s="539" t="s">
        <v>92</v>
      </c>
      <c r="AA12" s="153">
        <v>60.9</v>
      </c>
      <c r="AB12" s="153"/>
      <c r="AC12" s="153"/>
      <c r="AD12" s="140">
        <f t="shared" si="2"/>
        <v>60.9</v>
      </c>
      <c r="AE12" s="151">
        <f t="shared" si="3"/>
        <v>0</v>
      </c>
    </row>
    <row r="13" spans="1:31" s="155" customFormat="1" ht="45" customHeight="1" hidden="1">
      <c r="A13" s="146" t="s">
        <v>96</v>
      </c>
      <c r="B13" s="130" t="s">
        <v>25</v>
      </c>
      <c r="C13" s="138"/>
      <c r="D13" s="132"/>
      <c r="E13" s="132"/>
      <c r="F13" s="131">
        <f t="shared" si="0"/>
        <v>0</v>
      </c>
      <c r="G13" s="133" t="e">
        <f>(D13/C13)*100</f>
        <v>#DIV/0!</v>
      </c>
      <c r="H13" s="130" t="s">
        <v>25</v>
      </c>
      <c r="I13" s="165"/>
      <c r="J13" s="130"/>
      <c r="K13" s="130"/>
      <c r="L13" s="135"/>
      <c r="M13" s="133" t="e">
        <f>(J13/I13)*100</f>
        <v>#DIV/0!</v>
      </c>
      <c r="N13" s="130" t="s">
        <v>25</v>
      </c>
      <c r="O13" s="621"/>
      <c r="P13" s="130"/>
      <c r="Q13" s="149"/>
      <c r="R13" s="135"/>
      <c r="S13" s="133" t="e">
        <f>(P13/O13)*100</f>
        <v>#DIV/0!</v>
      </c>
      <c r="T13" s="130" t="s">
        <v>25</v>
      </c>
      <c r="U13" s="135"/>
      <c r="V13" s="130"/>
      <c r="W13" s="149"/>
      <c r="X13" s="135">
        <f>U13-V13</f>
        <v>0</v>
      </c>
      <c r="Y13" s="196" t="e">
        <f t="shared" si="1"/>
        <v>#DIV/0!</v>
      </c>
      <c r="Z13" s="539" t="s">
        <v>92</v>
      </c>
      <c r="AA13" s="153">
        <v>38.419</v>
      </c>
      <c r="AB13" s="174"/>
      <c r="AC13" s="154"/>
      <c r="AD13" s="140">
        <f t="shared" si="2"/>
        <v>38.419</v>
      </c>
      <c r="AE13" s="151">
        <f t="shared" si="3"/>
        <v>0</v>
      </c>
    </row>
    <row r="14" spans="1:31" s="155" customFormat="1" ht="45" customHeight="1" hidden="1">
      <c r="A14" s="146" t="s">
        <v>97</v>
      </c>
      <c r="B14" s="130" t="s">
        <v>25</v>
      </c>
      <c r="C14" s="149"/>
      <c r="D14" s="149"/>
      <c r="E14" s="132"/>
      <c r="F14" s="131">
        <f t="shared" si="0"/>
        <v>0</v>
      </c>
      <c r="G14" s="133" t="e">
        <f>(D14/C14)*100</f>
        <v>#DIV/0!</v>
      </c>
      <c r="H14" s="130" t="s">
        <v>25</v>
      </c>
      <c r="I14" s="165"/>
      <c r="J14" s="149"/>
      <c r="K14" s="130"/>
      <c r="L14" s="135"/>
      <c r="M14" s="133" t="e">
        <f>(J14/I14)*100</f>
        <v>#DIV/0!</v>
      </c>
      <c r="N14" s="130" t="s">
        <v>25</v>
      </c>
      <c r="O14" s="169"/>
      <c r="P14" s="150"/>
      <c r="Q14" s="150"/>
      <c r="R14" s="135"/>
      <c r="S14" s="133" t="e">
        <f>(P14/O14)*100</f>
        <v>#DIV/0!</v>
      </c>
      <c r="T14" s="130" t="s">
        <v>25</v>
      </c>
      <c r="U14" s="135"/>
      <c r="V14" s="130"/>
      <c r="W14" s="149"/>
      <c r="X14" s="135">
        <f>U14-V14</f>
        <v>0</v>
      </c>
      <c r="Y14" s="196" t="e">
        <f t="shared" si="1"/>
        <v>#DIV/0!</v>
      </c>
      <c r="Z14" s="539" t="s">
        <v>92</v>
      </c>
      <c r="AA14" s="175">
        <v>78.7</v>
      </c>
      <c r="AB14" s="175"/>
      <c r="AC14" s="175"/>
      <c r="AD14" s="140">
        <f t="shared" si="2"/>
        <v>78.7</v>
      </c>
      <c r="AE14" s="151">
        <f t="shared" si="3"/>
        <v>0</v>
      </c>
    </row>
    <row r="15" spans="1:25" s="155" customFormat="1" ht="45" customHeight="1" hidden="1" thickBot="1">
      <c r="A15" s="525"/>
      <c r="B15" s="193"/>
      <c r="C15" s="201"/>
      <c r="D15" s="190">
        <v>0</v>
      </c>
      <c r="E15" s="190"/>
      <c r="F15" s="190"/>
      <c r="G15" s="196"/>
      <c r="H15" s="152"/>
      <c r="I15" s="202"/>
      <c r="J15" s="203"/>
      <c r="K15" s="140"/>
      <c r="L15" s="140"/>
      <c r="M15" s="196"/>
      <c r="N15" s="152"/>
      <c r="O15" s="140"/>
      <c r="P15" s="175"/>
      <c r="Q15" s="175"/>
      <c r="R15" s="140"/>
      <c r="S15" s="196"/>
      <c r="T15" s="622"/>
      <c r="U15" s="622"/>
      <c r="V15" s="622"/>
      <c r="W15" s="622"/>
      <c r="X15" s="622"/>
      <c r="Y15" s="622"/>
    </row>
    <row r="16" spans="1:25" s="155" customFormat="1" ht="22.5" customHeight="1" hidden="1">
      <c r="A16" s="770" t="s">
        <v>80</v>
      </c>
      <c r="B16" s="770" t="s">
        <v>98</v>
      </c>
      <c r="C16" s="770"/>
      <c r="D16" s="770"/>
      <c r="E16" s="770"/>
      <c r="F16" s="770"/>
      <c r="G16" s="769" t="s">
        <v>82</v>
      </c>
      <c r="H16" s="770" t="s">
        <v>99</v>
      </c>
      <c r="I16" s="770"/>
      <c r="J16" s="770"/>
      <c r="K16" s="770"/>
      <c r="L16" s="770"/>
      <c r="M16" s="769" t="s">
        <v>82</v>
      </c>
      <c r="N16" s="770" t="s">
        <v>100</v>
      </c>
      <c r="O16" s="770"/>
      <c r="P16" s="770"/>
      <c r="Q16" s="770"/>
      <c r="R16" s="770"/>
      <c r="S16" s="769" t="s">
        <v>82</v>
      </c>
      <c r="T16" s="622"/>
      <c r="U16" s="622"/>
      <c r="V16" s="622"/>
      <c r="W16" s="622"/>
      <c r="X16" s="622"/>
      <c r="Y16" s="622"/>
    </row>
    <row r="17" spans="1:25" s="155" customFormat="1" ht="22.5" customHeight="1" hidden="1">
      <c r="A17" s="770"/>
      <c r="B17" s="769" t="s">
        <v>87</v>
      </c>
      <c r="C17" s="770" t="s">
        <v>7</v>
      </c>
      <c r="D17" s="770" t="s">
        <v>88</v>
      </c>
      <c r="E17" s="770"/>
      <c r="F17" s="770" t="s">
        <v>89</v>
      </c>
      <c r="G17" s="769"/>
      <c r="H17" s="769" t="s">
        <v>87</v>
      </c>
      <c r="I17" s="770" t="s">
        <v>7</v>
      </c>
      <c r="J17" s="770" t="s">
        <v>88</v>
      </c>
      <c r="K17" s="770"/>
      <c r="L17" s="770" t="s">
        <v>89</v>
      </c>
      <c r="M17" s="769"/>
      <c r="N17" s="623"/>
      <c r="O17" s="624"/>
      <c r="P17" s="624"/>
      <c r="Q17" s="624"/>
      <c r="R17" s="624"/>
      <c r="S17" s="769"/>
      <c r="T17" s="622"/>
      <c r="U17" s="622"/>
      <c r="V17" s="622"/>
      <c r="W17" s="622"/>
      <c r="X17" s="622"/>
      <c r="Y17" s="622"/>
    </row>
    <row r="18" spans="1:25" s="155" customFormat="1" ht="41.25" customHeight="1" hidden="1">
      <c r="A18" s="770"/>
      <c r="B18" s="769"/>
      <c r="C18" s="770"/>
      <c r="D18" s="525" t="s">
        <v>41</v>
      </c>
      <c r="E18" s="525" t="s">
        <v>90</v>
      </c>
      <c r="F18" s="770"/>
      <c r="G18" s="769"/>
      <c r="H18" s="769"/>
      <c r="I18" s="770"/>
      <c r="J18" s="525" t="s">
        <v>41</v>
      </c>
      <c r="K18" s="525" t="s">
        <v>90</v>
      </c>
      <c r="L18" s="770"/>
      <c r="M18" s="769"/>
      <c r="N18" s="623" t="s">
        <v>87</v>
      </c>
      <c r="O18" s="624" t="s">
        <v>7</v>
      </c>
      <c r="P18" s="525" t="s">
        <v>41</v>
      </c>
      <c r="Q18" s="525" t="s">
        <v>90</v>
      </c>
      <c r="R18" s="525" t="s">
        <v>89</v>
      </c>
      <c r="S18" s="769"/>
      <c r="T18" s="622"/>
      <c r="U18" s="622"/>
      <c r="V18" s="622"/>
      <c r="W18" s="622"/>
      <c r="X18" s="622"/>
      <c r="Y18" s="622"/>
    </row>
    <row r="19" spans="1:25" s="155" customFormat="1" ht="45" customHeight="1" hidden="1">
      <c r="A19" s="146" t="s">
        <v>91</v>
      </c>
      <c r="B19" s="146" t="s">
        <v>25</v>
      </c>
      <c r="C19" s="190">
        <f>C20+C21+C22+C23+C24+C25</f>
        <v>24.349</v>
      </c>
      <c r="D19" s="190">
        <f>D20+D21+D22+D23+D24+D25</f>
        <v>0</v>
      </c>
      <c r="E19" s="190">
        <f>E20+E21+E22+E23+E24+E25</f>
        <v>0</v>
      </c>
      <c r="F19" s="190">
        <f>C19-D19</f>
        <v>24.349</v>
      </c>
      <c r="G19" s="133">
        <f>(D19/C19)*100</f>
        <v>0</v>
      </c>
      <c r="H19" s="135" t="s">
        <v>25</v>
      </c>
      <c r="I19" s="190">
        <f>I20+I21+I22+I23+I24+I25</f>
        <v>10.8</v>
      </c>
      <c r="J19" s="191">
        <f>J20+J21+J22+J23+J24+J25</f>
        <v>0</v>
      </c>
      <c r="K19" s="190">
        <f>K20+K21+K22+K23+K24+K25</f>
        <v>0</v>
      </c>
      <c r="L19" s="140" t="s">
        <v>101</v>
      </c>
      <c r="M19" s="133">
        <f>(J19/I19)*100</f>
        <v>0</v>
      </c>
      <c r="N19" s="146" t="s">
        <v>25</v>
      </c>
      <c r="O19" s="190">
        <f>O20+O21+O22+O23+O24+O25</f>
        <v>0.285</v>
      </c>
      <c r="P19" s="190">
        <f>P20+P21+P22+P23+P24+P25</f>
        <v>0</v>
      </c>
      <c r="Q19" s="190">
        <f>Q20+Q21+Q22+Q23+Q24+Q25</f>
        <v>0</v>
      </c>
      <c r="R19" s="190">
        <f>O19-P19</f>
        <v>0.285</v>
      </c>
      <c r="S19" s="190"/>
      <c r="T19" s="622"/>
      <c r="U19" s="622"/>
      <c r="V19" s="622"/>
      <c r="W19" s="622"/>
      <c r="X19" s="622"/>
      <c r="Y19" s="622"/>
    </row>
    <row r="20" spans="1:25" s="155" customFormat="1" ht="45" customHeight="1" hidden="1">
      <c r="A20" s="525" t="s">
        <v>10</v>
      </c>
      <c r="B20" s="193" t="s">
        <v>92</v>
      </c>
      <c r="C20" s="201">
        <v>20.1</v>
      </c>
      <c r="D20" s="190"/>
      <c r="E20" s="190"/>
      <c r="F20" s="190">
        <f aca="true" t="shared" si="4" ref="F20:F25">C20-D20</f>
        <v>20.1</v>
      </c>
      <c r="G20" s="196">
        <f aca="true" t="shared" si="5" ref="G20:G25">(D20/C20)*100</f>
        <v>0</v>
      </c>
      <c r="H20" s="152" t="s">
        <v>25</v>
      </c>
      <c r="I20" s="625">
        <v>7.1</v>
      </c>
      <c r="J20" s="203"/>
      <c r="K20" s="140"/>
      <c r="L20" s="140">
        <f aca="true" t="shared" si="6" ref="L20:L25">I20-J20</f>
        <v>7.1</v>
      </c>
      <c r="M20" s="196">
        <f aca="true" t="shared" si="7" ref="M20:M25">(J20/I20)*100</f>
        <v>0</v>
      </c>
      <c r="N20" s="193" t="s">
        <v>25</v>
      </c>
      <c r="O20" s="139">
        <v>0.285</v>
      </c>
      <c r="P20" s="190"/>
      <c r="Q20" s="190"/>
      <c r="R20" s="190">
        <f aca="true" t="shared" si="8" ref="R20:R25">O20-P20</f>
        <v>0.285</v>
      </c>
      <c r="S20" s="190"/>
      <c r="T20" s="622"/>
      <c r="U20" s="622"/>
      <c r="V20" s="622"/>
      <c r="W20" s="622"/>
      <c r="X20" s="622"/>
      <c r="Y20" s="622"/>
    </row>
    <row r="21" spans="1:25" s="155" customFormat="1" ht="45" customHeight="1" hidden="1">
      <c r="A21" s="525" t="s">
        <v>93</v>
      </c>
      <c r="B21" s="193" t="s">
        <v>92</v>
      </c>
      <c r="C21" s="201">
        <v>3.9</v>
      </c>
      <c r="D21" s="190"/>
      <c r="E21" s="190"/>
      <c r="F21" s="190">
        <f t="shared" si="4"/>
        <v>3.9</v>
      </c>
      <c r="G21" s="196">
        <f t="shared" si="5"/>
        <v>0</v>
      </c>
      <c r="H21" s="152" t="s">
        <v>25</v>
      </c>
      <c r="I21" s="625">
        <v>3.7</v>
      </c>
      <c r="J21" s="140"/>
      <c r="K21" s="140"/>
      <c r="L21" s="140">
        <f t="shared" si="6"/>
        <v>3.7</v>
      </c>
      <c r="M21" s="196">
        <f t="shared" si="7"/>
        <v>0</v>
      </c>
      <c r="N21" s="193" t="s">
        <v>25</v>
      </c>
      <c r="O21" s="139">
        <v>0</v>
      </c>
      <c r="P21" s="190"/>
      <c r="Q21" s="190"/>
      <c r="R21" s="190">
        <f t="shared" si="8"/>
        <v>0</v>
      </c>
      <c r="S21" s="190"/>
      <c r="T21" s="622"/>
      <c r="U21" s="622"/>
      <c r="V21" s="622"/>
      <c r="W21" s="622"/>
      <c r="X21" s="622"/>
      <c r="Y21" s="622"/>
    </row>
    <row r="22" spans="1:25" s="155" customFormat="1" ht="45" customHeight="1" hidden="1">
      <c r="A22" s="525" t="s">
        <v>94</v>
      </c>
      <c r="B22" s="193" t="s">
        <v>92</v>
      </c>
      <c r="C22" s="201"/>
      <c r="D22" s="190"/>
      <c r="E22" s="190"/>
      <c r="F22" s="190">
        <f t="shared" si="4"/>
        <v>0</v>
      </c>
      <c r="G22" s="196" t="e">
        <f t="shared" si="5"/>
        <v>#DIV/0!</v>
      </c>
      <c r="H22" s="152" t="s">
        <v>25</v>
      </c>
      <c r="I22" s="202"/>
      <c r="J22" s="140"/>
      <c r="K22" s="140"/>
      <c r="L22" s="140">
        <f t="shared" si="6"/>
        <v>0</v>
      </c>
      <c r="M22" s="196" t="e">
        <f t="shared" si="7"/>
        <v>#DIV/0!</v>
      </c>
      <c r="N22" s="193" t="s">
        <v>25</v>
      </c>
      <c r="O22" s="201"/>
      <c r="P22" s="190"/>
      <c r="Q22" s="190"/>
      <c r="R22" s="190">
        <f t="shared" si="8"/>
        <v>0</v>
      </c>
      <c r="S22" s="190"/>
      <c r="T22" s="622"/>
      <c r="U22" s="622"/>
      <c r="V22" s="622"/>
      <c r="W22" s="622"/>
      <c r="X22" s="622"/>
      <c r="Y22" s="622"/>
    </row>
    <row r="23" spans="1:25" s="155" customFormat="1" ht="45" customHeight="1" hidden="1">
      <c r="A23" s="525" t="s">
        <v>95</v>
      </c>
      <c r="B23" s="193" t="s">
        <v>92</v>
      </c>
      <c r="C23" s="201"/>
      <c r="D23" s="190"/>
      <c r="E23" s="190"/>
      <c r="F23" s="190">
        <f t="shared" si="4"/>
        <v>0</v>
      </c>
      <c r="G23" s="196" t="e">
        <f t="shared" si="5"/>
        <v>#DIV/0!</v>
      </c>
      <c r="H23" s="152" t="s">
        <v>25</v>
      </c>
      <c r="I23" s="202"/>
      <c r="J23" s="202"/>
      <c r="K23" s="140"/>
      <c r="L23" s="140">
        <f t="shared" si="6"/>
        <v>0</v>
      </c>
      <c r="M23" s="196" t="e">
        <f t="shared" si="7"/>
        <v>#DIV/0!</v>
      </c>
      <c r="N23" s="193" t="s">
        <v>25</v>
      </c>
      <c r="O23" s="201"/>
      <c r="P23" s="190"/>
      <c r="Q23" s="190"/>
      <c r="R23" s="190">
        <f t="shared" si="8"/>
        <v>0</v>
      </c>
      <c r="S23" s="190"/>
      <c r="T23" s="622"/>
      <c r="U23" s="622"/>
      <c r="V23" s="622"/>
      <c r="W23" s="622"/>
      <c r="X23" s="622"/>
      <c r="Y23" s="622"/>
    </row>
    <row r="24" spans="1:25" s="155" customFormat="1" ht="45" customHeight="1" hidden="1">
      <c r="A24" s="525" t="s">
        <v>96</v>
      </c>
      <c r="B24" s="193" t="s">
        <v>92</v>
      </c>
      <c r="C24" s="139">
        <v>0.349</v>
      </c>
      <c r="D24" s="190"/>
      <c r="E24" s="626"/>
      <c r="F24" s="190">
        <f t="shared" si="4"/>
        <v>0.349</v>
      </c>
      <c r="G24" s="196">
        <f t="shared" si="5"/>
        <v>0</v>
      </c>
      <c r="H24" s="152" t="s">
        <v>25</v>
      </c>
      <c r="I24" s="202"/>
      <c r="J24" s="140"/>
      <c r="K24" s="140"/>
      <c r="L24" s="140">
        <f t="shared" si="6"/>
        <v>0</v>
      </c>
      <c r="M24" s="196" t="e">
        <f t="shared" si="7"/>
        <v>#DIV/0!</v>
      </c>
      <c r="N24" s="193" t="s">
        <v>25</v>
      </c>
      <c r="O24" s="201"/>
      <c r="P24" s="190"/>
      <c r="Q24" s="626"/>
      <c r="R24" s="190">
        <f t="shared" si="8"/>
        <v>0</v>
      </c>
      <c r="S24" s="190"/>
      <c r="T24" s="622"/>
      <c r="U24" s="622"/>
      <c r="V24" s="622"/>
      <c r="W24" s="622"/>
      <c r="X24" s="622"/>
      <c r="Y24" s="622"/>
    </row>
    <row r="25" spans="1:25" s="155" customFormat="1" ht="45" customHeight="1" hidden="1">
      <c r="A25" s="525" t="s">
        <v>97</v>
      </c>
      <c r="B25" s="193" t="s">
        <v>92</v>
      </c>
      <c r="C25" s="201">
        <v>0</v>
      </c>
      <c r="D25" s="190"/>
      <c r="E25" s="190"/>
      <c r="F25" s="190">
        <f t="shared" si="4"/>
        <v>0</v>
      </c>
      <c r="G25" s="196" t="e">
        <f t="shared" si="5"/>
        <v>#DIV/0!</v>
      </c>
      <c r="H25" s="152" t="s">
        <v>25</v>
      </c>
      <c r="I25" s="202">
        <v>0</v>
      </c>
      <c r="J25" s="203"/>
      <c r="K25" s="140"/>
      <c r="L25" s="140">
        <f t="shared" si="6"/>
        <v>0</v>
      </c>
      <c r="M25" s="196" t="e">
        <f t="shared" si="7"/>
        <v>#DIV/0!</v>
      </c>
      <c r="N25" s="193" t="s">
        <v>25</v>
      </c>
      <c r="O25" s="201">
        <v>0</v>
      </c>
      <c r="P25" s="190"/>
      <c r="Q25" s="190"/>
      <c r="R25" s="190">
        <f t="shared" si="8"/>
        <v>0</v>
      </c>
      <c r="S25" s="190"/>
      <c r="T25" s="622"/>
      <c r="U25" s="622"/>
      <c r="V25" s="622"/>
      <c r="W25" s="622"/>
      <c r="X25" s="622"/>
      <c r="Y25" s="622"/>
    </row>
    <row r="26" spans="1:25" s="155" customFormat="1" ht="22.5" customHeight="1" hidden="1">
      <c r="A26" s="525"/>
      <c r="B26" s="193"/>
      <c r="C26" s="201"/>
      <c r="D26" s="190"/>
      <c r="E26" s="190"/>
      <c r="F26" s="190"/>
      <c r="G26" s="196"/>
      <c r="H26" s="152"/>
      <c r="I26" s="202"/>
      <c r="J26" s="203"/>
      <c r="K26" s="140"/>
      <c r="L26" s="140"/>
      <c r="M26" s="196"/>
      <c r="N26" s="152"/>
      <c r="O26" s="140"/>
      <c r="P26" s="175"/>
      <c r="Q26" s="175"/>
      <c r="R26" s="140"/>
      <c r="S26" s="196"/>
      <c r="T26" s="622"/>
      <c r="U26" s="622"/>
      <c r="V26" s="622"/>
      <c r="W26" s="622"/>
      <c r="X26" s="622"/>
      <c r="Y26" s="622"/>
    </row>
    <row r="27" spans="1:25" s="155" customFormat="1" ht="22.5" customHeight="1" hidden="1">
      <c r="A27" s="525"/>
      <c r="B27" s="193"/>
      <c r="C27" s="201"/>
      <c r="D27" s="190"/>
      <c r="E27" s="190"/>
      <c r="F27" s="190"/>
      <c r="G27" s="196"/>
      <c r="H27" s="152"/>
      <c r="I27" s="202"/>
      <c r="J27" s="203"/>
      <c r="K27" s="140"/>
      <c r="L27" s="140"/>
      <c r="M27" s="196"/>
      <c r="N27" s="152"/>
      <c r="O27" s="140"/>
      <c r="P27" s="175"/>
      <c r="Q27" s="175"/>
      <c r="R27" s="140"/>
      <c r="S27" s="196"/>
      <c r="T27" s="622"/>
      <c r="U27" s="622"/>
      <c r="V27" s="622"/>
      <c r="W27" s="622"/>
      <c r="X27" s="622"/>
      <c r="Y27" s="622"/>
    </row>
    <row r="28" spans="1:25" s="155" customFormat="1" ht="22.5" customHeight="1" hidden="1">
      <c r="A28" s="525"/>
      <c r="B28" s="193"/>
      <c r="C28" s="201"/>
      <c r="D28" s="190"/>
      <c r="E28" s="190"/>
      <c r="F28" s="190"/>
      <c r="G28" s="196"/>
      <c r="H28" s="152"/>
      <c r="I28" s="202"/>
      <c r="J28" s="203"/>
      <c r="K28" s="140"/>
      <c r="L28" s="140"/>
      <c r="M28" s="196"/>
      <c r="N28" s="152"/>
      <c r="O28" s="140"/>
      <c r="P28" s="175"/>
      <c r="Q28" s="175"/>
      <c r="R28" s="140"/>
      <c r="S28" s="196"/>
      <c r="T28" s="622"/>
      <c r="U28" s="622"/>
      <c r="V28" s="622"/>
      <c r="W28" s="622"/>
      <c r="X28" s="622"/>
      <c r="Y28" s="622"/>
    </row>
    <row r="29" spans="1:25" ht="24.75" customHeight="1" hidden="1">
      <c r="A29" s="525"/>
      <c r="B29" s="525"/>
      <c r="C29" s="627"/>
      <c r="D29" s="627"/>
      <c r="E29" s="627"/>
      <c r="F29" s="628"/>
      <c r="G29" s="629"/>
      <c r="H29" s="629"/>
      <c r="I29" s="630"/>
      <c r="J29" s="631"/>
      <c r="K29" s="631"/>
      <c r="L29" s="632"/>
      <c r="M29" s="633"/>
      <c r="N29" s="631"/>
      <c r="O29" s="632"/>
      <c r="P29" s="631"/>
      <c r="Q29" s="631"/>
      <c r="R29" s="631"/>
      <c r="S29" s="632"/>
      <c r="T29" s="634"/>
      <c r="U29" s="634"/>
      <c r="V29" s="634"/>
      <c r="W29" s="634"/>
      <c r="X29" s="634"/>
      <c r="Y29" s="634"/>
    </row>
    <row r="30" spans="1:25" s="212" customFormat="1" ht="18" hidden="1">
      <c r="A30" s="804" t="s">
        <v>102</v>
      </c>
      <c r="B30" s="804" t="s">
        <v>103</v>
      </c>
      <c r="C30" s="804" t="s">
        <v>87</v>
      </c>
      <c r="D30" s="805" t="s">
        <v>104</v>
      </c>
      <c r="E30" s="805"/>
      <c r="F30" s="805" t="s">
        <v>105</v>
      </c>
      <c r="G30" s="805"/>
      <c r="H30" s="806" t="s">
        <v>106</v>
      </c>
      <c r="I30" s="806"/>
      <c r="J30" s="805" t="s">
        <v>107</v>
      </c>
      <c r="K30" s="805"/>
      <c r="L30" s="793" t="s">
        <v>108</v>
      </c>
      <c r="M30" s="793"/>
      <c r="N30" s="793" t="s">
        <v>109</v>
      </c>
      <c r="O30" s="793"/>
      <c r="P30" s="793" t="s">
        <v>110</v>
      </c>
      <c r="Q30" s="793"/>
      <c r="R30" s="798" t="s">
        <v>111</v>
      </c>
      <c r="S30" s="798"/>
      <c r="T30" s="793" t="s">
        <v>112</v>
      </c>
      <c r="U30" s="793"/>
      <c r="V30" s="793" t="s">
        <v>113</v>
      </c>
      <c r="W30" s="793"/>
      <c r="X30" s="793" t="s">
        <v>114</v>
      </c>
      <c r="Y30" s="793"/>
    </row>
    <row r="31" spans="1:25" s="212" customFormat="1" ht="18" hidden="1">
      <c r="A31" s="804"/>
      <c r="B31" s="804"/>
      <c r="C31" s="804"/>
      <c r="D31" s="203" t="s">
        <v>115</v>
      </c>
      <c r="E31" s="203" t="s">
        <v>17</v>
      </c>
      <c r="F31" s="203" t="s">
        <v>115</v>
      </c>
      <c r="G31" s="203" t="s">
        <v>17</v>
      </c>
      <c r="H31" s="203" t="s">
        <v>115</v>
      </c>
      <c r="I31" s="203" t="s">
        <v>17</v>
      </c>
      <c r="J31" s="203" t="s">
        <v>115</v>
      </c>
      <c r="K31" s="203" t="s">
        <v>17</v>
      </c>
      <c r="L31" s="203" t="s">
        <v>115</v>
      </c>
      <c r="M31" s="203" t="s">
        <v>17</v>
      </c>
      <c r="N31" s="203" t="s">
        <v>115</v>
      </c>
      <c r="O31" s="203" t="s">
        <v>17</v>
      </c>
      <c r="P31" s="203" t="s">
        <v>115</v>
      </c>
      <c r="Q31" s="203" t="s">
        <v>17</v>
      </c>
      <c r="R31" s="203" t="s">
        <v>115</v>
      </c>
      <c r="S31" s="203" t="s">
        <v>17</v>
      </c>
      <c r="T31" s="203" t="s">
        <v>115</v>
      </c>
      <c r="U31" s="203" t="s">
        <v>17</v>
      </c>
      <c r="V31" s="203" t="s">
        <v>115</v>
      </c>
      <c r="W31" s="203" t="s">
        <v>17</v>
      </c>
      <c r="X31" s="203" t="s">
        <v>115</v>
      </c>
      <c r="Y31" s="203" t="s">
        <v>17</v>
      </c>
    </row>
    <row r="32" spans="1:25" s="213" customFormat="1" ht="18" customHeight="1" hidden="1">
      <c r="A32" s="804" t="s">
        <v>91</v>
      </c>
      <c r="B32" s="531" t="s">
        <v>81</v>
      </c>
      <c r="C32" s="531" t="s">
        <v>25</v>
      </c>
      <c r="D32" s="203"/>
      <c r="E32" s="203"/>
      <c r="F32" s="203"/>
      <c r="G32" s="203"/>
      <c r="H32" s="203"/>
      <c r="I32" s="203"/>
      <c r="J32" s="203"/>
      <c r="K32" s="203"/>
      <c r="L32" s="530"/>
      <c r="M32" s="140"/>
      <c r="N32" s="530"/>
      <c r="O32" s="140"/>
      <c r="P32" s="530"/>
      <c r="Q32" s="140"/>
      <c r="R32" s="532"/>
      <c r="S32" s="530"/>
      <c r="T32" s="530"/>
      <c r="U32" s="530"/>
      <c r="V32" s="530"/>
      <c r="W32" s="530"/>
      <c r="X32" s="530"/>
      <c r="Y32" s="530"/>
    </row>
    <row r="33" spans="1:25" s="213" customFormat="1" ht="18" hidden="1">
      <c r="A33" s="804"/>
      <c r="B33" s="531" t="s">
        <v>83</v>
      </c>
      <c r="C33" s="531" t="s">
        <v>25</v>
      </c>
      <c r="D33" s="203"/>
      <c r="E33" s="203"/>
      <c r="F33" s="203"/>
      <c r="G33" s="203"/>
      <c r="H33" s="203"/>
      <c r="I33" s="203"/>
      <c r="J33" s="203"/>
      <c r="K33" s="203"/>
      <c r="L33" s="530"/>
      <c r="M33" s="203"/>
      <c r="N33" s="530"/>
      <c r="O33" s="203"/>
      <c r="P33" s="530"/>
      <c r="Q33" s="203"/>
      <c r="R33" s="532"/>
      <c r="S33" s="140"/>
      <c r="T33" s="140"/>
      <c r="U33" s="140"/>
      <c r="V33" s="140"/>
      <c r="W33" s="140"/>
      <c r="X33" s="140"/>
      <c r="Y33" s="140"/>
    </row>
    <row r="34" spans="1:25" s="213" customFormat="1" ht="18" hidden="1">
      <c r="A34" s="804"/>
      <c r="B34" s="531" t="s">
        <v>84</v>
      </c>
      <c r="C34" s="531" t="s">
        <v>25</v>
      </c>
      <c r="D34" s="203"/>
      <c r="E34" s="203"/>
      <c r="F34" s="203"/>
      <c r="G34" s="140"/>
      <c r="H34" s="203"/>
      <c r="I34" s="140"/>
      <c r="J34" s="140"/>
      <c r="K34" s="175"/>
      <c r="L34" s="530"/>
      <c r="M34" s="175"/>
      <c r="N34" s="530"/>
      <c r="O34" s="175"/>
      <c r="P34" s="140"/>
      <c r="Q34" s="175"/>
      <c r="R34" s="169"/>
      <c r="S34" s="169"/>
      <c r="T34" s="169"/>
      <c r="U34" s="169"/>
      <c r="V34" s="169"/>
      <c r="W34" s="169"/>
      <c r="X34" s="169"/>
      <c r="Y34" s="169"/>
    </row>
    <row r="35" spans="1:26" s="212" customFormat="1" ht="18" customHeight="1" hidden="1">
      <c r="A35" s="807" t="s">
        <v>10</v>
      </c>
      <c r="B35" s="214" t="s">
        <v>81</v>
      </c>
      <c r="C35" s="214" t="s">
        <v>25</v>
      </c>
      <c r="D35" s="203"/>
      <c r="E35" s="201"/>
      <c r="F35" s="203"/>
      <c r="G35" s="203"/>
      <c r="H35" s="215"/>
      <c r="I35" s="203"/>
      <c r="J35" s="203"/>
      <c r="K35" s="203"/>
      <c r="L35" s="530"/>
      <c r="M35" s="203"/>
      <c r="N35" s="530"/>
      <c r="O35" s="216"/>
      <c r="P35" s="530"/>
      <c r="Q35" s="203"/>
      <c r="R35" s="532"/>
      <c r="S35" s="203"/>
      <c r="T35" s="217"/>
      <c r="U35" s="218"/>
      <c r="V35" s="218"/>
      <c r="W35" s="218"/>
      <c r="X35" s="140"/>
      <c r="Y35" s="217"/>
      <c r="Z35" s="219">
        <f>E35+G35+I35+K35+M35+O35+Q35+S35+U35+W35+Y35</f>
        <v>0</v>
      </c>
    </row>
    <row r="36" spans="1:26" s="212" customFormat="1" ht="20.25" hidden="1">
      <c r="A36" s="807"/>
      <c r="B36" s="214" t="s">
        <v>83</v>
      </c>
      <c r="C36" s="214" t="s">
        <v>25</v>
      </c>
      <c r="D36" s="203"/>
      <c r="E36" s="201"/>
      <c r="F36" s="203"/>
      <c r="G36" s="203"/>
      <c r="H36" s="215"/>
      <c r="I36" s="203"/>
      <c r="J36" s="203"/>
      <c r="K36" s="220"/>
      <c r="L36" s="530"/>
      <c r="M36" s="203"/>
      <c r="N36" s="530"/>
      <c r="O36" s="216"/>
      <c r="P36" s="530"/>
      <c r="Q36" s="203"/>
      <c r="R36" s="532"/>
      <c r="S36" s="203"/>
      <c r="T36" s="221"/>
      <c r="U36" s="218"/>
      <c r="V36" s="218"/>
      <c r="W36" s="218"/>
      <c r="X36" s="140"/>
      <c r="Y36" s="217"/>
      <c r="Z36" s="219">
        <f aca="true" t="shared" si="9" ref="Z36:Z52">E36+G36+I36+K36+M36+O36+Q36+S36+U36+W36+Y36</f>
        <v>0</v>
      </c>
    </row>
    <row r="37" spans="1:26" s="212" customFormat="1" ht="20.25" hidden="1">
      <c r="A37" s="807"/>
      <c r="B37" s="214" t="s">
        <v>84</v>
      </c>
      <c r="C37" s="214" t="s">
        <v>25</v>
      </c>
      <c r="D37" s="203"/>
      <c r="E37" s="201"/>
      <c r="F37" s="203"/>
      <c r="G37" s="203"/>
      <c r="H37" s="215"/>
      <c r="I37" s="203"/>
      <c r="J37" s="203"/>
      <c r="K37" s="203"/>
      <c r="L37" s="530"/>
      <c r="M37" s="140"/>
      <c r="N37" s="530"/>
      <c r="O37" s="175"/>
      <c r="P37" s="530"/>
      <c r="Q37" s="140"/>
      <c r="R37" s="169"/>
      <c r="S37" s="140"/>
      <c r="T37" s="221"/>
      <c r="U37" s="218"/>
      <c r="V37" s="218"/>
      <c r="W37" s="218"/>
      <c r="X37" s="175"/>
      <c r="Y37" s="217"/>
      <c r="Z37" s="222">
        <f t="shared" si="9"/>
        <v>0</v>
      </c>
    </row>
    <row r="38" spans="1:26" s="212" customFormat="1" ht="18" customHeight="1" hidden="1">
      <c r="A38" s="807" t="s">
        <v>93</v>
      </c>
      <c r="B38" s="214" t="s">
        <v>81</v>
      </c>
      <c r="C38" s="214" t="s">
        <v>25</v>
      </c>
      <c r="D38" s="203"/>
      <c r="E38" s="201"/>
      <c r="F38" s="203"/>
      <c r="G38" s="203"/>
      <c r="H38" s="215"/>
      <c r="I38" s="203"/>
      <c r="J38" s="203"/>
      <c r="K38" s="203"/>
      <c r="L38" s="530"/>
      <c r="M38" s="203"/>
      <c r="N38" s="530"/>
      <c r="O38" s="203"/>
      <c r="P38" s="530"/>
      <c r="Q38" s="140"/>
      <c r="R38" s="532"/>
      <c r="S38" s="203"/>
      <c r="T38" s="223"/>
      <c r="U38" s="218"/>
      <c r="V38" s="218"/>
      <c r="W38" s="218"/>
      <c r="X38" s="140"/>
      <c r="Y38" s="217"/>
      <c r="Z38" s="219">
        <f t="shared" si="9"/>
        <v>0</v>
      </c>
    </row>
    <row r="39" spans="1:26" s="212" customFormat="1" ht="20.25" hidden="1">
      <c r="A39" s="807"/>
      <c r="B39" s="214" t="s">
        <v>83</v>
      </c>
      <c r="C39" s="214" t="s">
        <v>25</v>
      </c>
      <c r="D39" s="203"/>
      <c r="E39" s="201"/>
      <c r="F39" s="220"/>
      <c r="G39" s="203"/>
      <c r="H39" s="224"/>
      <c r="I39" s="203"/>
      <c r="J39" s="203"/>
      <c r="K39" s="220"/>
      <c r="L39" s="530"/>
      <c r="M39" s="203"/>
      <c r="N39" s="530"/>
      <c r="O39" s="203"/>
      <c r="P39" s="530"/>
      <c r="Q39" s="203"/>
      <c r="R39" s="532"/>
      <c r="S39" s="203"/>
      <c r="T39" s="223"/>
      <c r="U39" s="218"/>
      <c r="V39" s="218"/>
      <c r="W39" s="218"/>
      <c r="X39" s="140"/>
      <c r="Y39" s="217"/>
      <c r="Z39" s="219">
        <f t="shared" si="9"/>
        <v>0</v>
      </c>
    </row>
    <row r="40" spans="1:26" s="212" customFormat="1" ht="20.25" hidden="1">
      <c r="A40" s="807"/>
      <c r="B40" s="214" t="s">
        <v>84</v>
      </c>
      <c r="C40" s="214" t="s">
        <v>25</v>
      </c>
      <c r="D40" s="203"/>
      <c r="E40" s="201"/>
      <c r="F40" s="203"/>
      <c r="G40" s="140"/>
      <c r="H40" s="215"/>
      <c r="I40" s="140"/>
      <c r="J40" s="203"/>
      <c r="K40" s="203"/>
      <c r="L40" s="140"/>
      <c r="M40" s="175"/>
      <c r="N40" s="530"/>
      <c r="O40" s="175"/>
      <c r="P40" s="530"/>
      <c r="Q40" s="175"/>
      <c r="R40" s="169"/>
      <c r="S40" s="203"/>
      <c r="T40" s="225"/>
      <c r="U40" s="218"/>
      <c r="V40" s="218"/>
      <c r="W40" s="218"/>
      <c r="X40" s="175"/>
      <c r="Y40" s="217"/>
      <c r="Z40" s="222">
        <f t="shared" si="9"/>
        <v>0</v>
      </c>
    </row>
    <row r="41" spans="1:26" s="212" customFormat="1" ht="18" customHeight="1" hidden="1">
      <c r="A41" s="807" t="s">
        <v>94</v>
      </c>
      <c r="B41" s="214" t="s">
        <v>81</v>
      </c>
      <c r="C41" s="214" t="s">
        <v>25</v>
      </c>
      <c r="D41" s="203"/>
      <c r="E41" s="201"/>
      <c r="F41" s="220"/>
      <c r="G41" s="203"/>
      <c r="H41" s="224"/>
      <c r="I41" s="203"/>
      <c r="J41" s="203"/>
      <c r="K41" s="203"/>
      <c r="L41" s="530"/>
      <c r="M41" s="203"/>
      <c r="N41" s="530"/>
      <c r="O41" s="203"/>
      <c r="P41" s="530"/>
      <c r="Q41" s="203"/>
      <c r="R41" s="532"/>
      <c r="S41" s="203"/>
      <c r="T41" s="226"/>
      <c r="U41" s="218"/>
      <c r="V41" s="218"/>
      <c r="W41" s="218"/>
      <c r="X41" s="140"/>
      <c r="Y41" s="217"/>
      <c r="Z41" s="219">
        <f t="shared" si="9"/>
        <v>0</v>
      </c>
    </row>
    <row r="42" spans="1:26" s="212" customFormat="1" ht="20.25" hidden="1">
      <c r="A42" s="807"/>
      <c r="B42" s="214" t="s">
        <v>83</v>
      </c>
      <c r="C42" s="214" t="s">
        <v>25</v>
      </c>
      <c r="D42" s="203"/>
      <c r="E42" s="201"/>
      <c r="F42" s="220"/>
      <c r="G42" s="203"/>
      <c r="H42" s="224"/>
      <c r="I42" s="203"/>
      <c r="J42" s="203"/>
      <c r="K42" s="203"/>
      <c r="L42" s="530"/>
      <c r="M42" s="203"/>
      <c r="N42" s="530"/>
      <c r="O42" s="203"/>
      <c r="P42" s="530"/>
      <c r="Q42" s="203"/>
      <c r="R42" s="532"/>
      <c r="S42" s="203"/>
      <c r="T42" s="226"/>
      <c r="U42" s="218"/>
      <c r="V42" s="218"/>
      <c r="W42" s="218"/>
      <c r="X42" s="140"/>
      <c r="Y42" s="217"/>
      <c r="Z42" s="219">
        <f t="shared" si="9"/>
        <v>0</v>
      </c>
    </row>
    <row r="43" spans="1:26" s="212" customFormat="1" ht="20.25" hidden="1">
      <c r="A43" s="807"/>
      <c r="B43" s="214" t="s">
        <v>84</v>
      </c>
      <c r="C43" s="214" t="s">
        <v>25</v>
      </c>
      <c r="D43" s="203"/>
      <c r="E43" s="201"/>
      <c r="F43" s="203"/>
      <c r="G43" s="203"/>
      <c r="H43" s="227"/>
      <c r="I43" s="203"/>
      <c r="J43" s="203"/>
      <c r="K43" s="203"/>
      <c r="L43" s="530"/>
      <c r="M43" s="140"/>
      <c r="N43" s="530"/>
      <c r="O43" s="175"/>
      <c r="P43" s="530"/>
      <c r="Q43" s="175"/>
      <c r="R43" s="169"/>
      <c r="S43" s="203"/>
      <c r="T43" s="226"/>
      <c r="U43" s="218"/>
      <c r="V43" s="218"/>
      <c r="W43" s="218"/>
      <c r="X43" s="140"/>
      <c r="Y43" s="217"/>
      <c r="Z43" s="219">
        <f t="shared" si="9"/>
        <v>0</v>
      </c>
    </row>
    <row r="44" spans="1:26" s="212" customFormat="1" ht="18" customHeight="1" hidden="1">
      <c r="A44" s="807" t="s">
        <v>95</v>
      </c>
      <c r="B44" s="214" t="s">
        <v>81</v>
      </c>
      <c r="C44" s="214" t="s">
        <v>25</v>
      </c>
      <c r="D44" s="203"/>
      <c r="E44" s="201"/>
      <c r="F44" s="220"/>
      <c r="G44" s="203"/>
      <c r="H44" s="224"/>
      <c r="I44" s="203"/>
      <c r="J44" s="203"/>
      <c r="K44" s="203"/>
      <c r="L44" s="530"/>
      <c r="M44" s="203"/>
      <c r="N44" s="530"/>
      <c r="O44" s="203"/>
      <c r="P44" s="530"/>
      <c r="Q44" s="203"/>
      <c r="R44" s="532"/>
      <c r="S44" s="203"/>
      <c r="T44" s="221"/>
      <c r="U44" s="218"/>
      <c r="V44" s="218"/>
      <c r="W44" s="218"/>
      <c r="X44" s="140"/>
      <c r="Y44" s="217"/>
      <c r="Z44" s="219">
        <f t="shared" si="9"/>
        <v>0</v>
      </c>
    </row>
    <row r="45" spans="1:26" s="212" customFormat="1" ht="20.25" hidden="1">
      <c r="A45" s="807"/>
      <c r="B45" s="214" t="s">
        <v>83</v>
      </c>
      <c r="C45" s="214" t="s">
        <v>25</v>
      </c>
      <c r="D45" s="203"/>
      <c r="E45" s="201"/>
      <c r="F45" s="220"/>
      <c r="G45" s="203"/>
      <c r="H45" s="224"/>
      <c r="I45" s="203"/>
      <c r="J45" s="203"/>
      <c r="K45" s="203"/>
      <c r="L45" s="530"/>
      <c r="M45" s="203"/>
      <c r="N45" s="530"/>
      <c r="O45" s="203"/>
      <c r="P45" s="530"/>
      <c r="Q45" s="203"/>
      <c r="R45" s="532"/>
      <c r="S45" s="203"/>
      <c r="T45" s="221"/>
      <c r="U45" s="218"/>
      <c r="V45" s="218"/>
      <c r="W45" s="218"/>
      <c r="X45" s="140"/>
      <c r="Y45" s="217"/>
      <c r="Z45" s="219">
        <f t="shared" si="9"/>
        <v>0</v>
      </c>
    </row>
    <row r="46" spans="1:26" s="212" customFormat="1" ht="20.25" hidden="1">
      <c r="A46" s="807"/>
      <c r="B46" s="214" t="s">
        <v>84</v>
      </c>
      <c r="C46" s="214" t="s">
        <v>25</v>
      </c>
      <c r="D46" s="203"/>
      <c r="E46" s="201"/>
      <c r="F46" s="203"/>
      <c r="G46" s="203"/>
      <c r="H46" s="215"/>
      <c r="I46" s="203"/>
      <c r="J46" s="203"/>
      <c r="K46" s="140"/>
      <c r="L46" s="530"/>
      <c r="M46" s="175"/>
      <c r="N46" s="530"/>
      <c r="O46" s="140"/>
      <c r="P46" s="530"/>
      <c r="Q46" s="175"/>
      <c r="R46" s="169"/>
      <c r="S46" s="175"/>
      <c r="T46" s="228"/>
      <c r="U46" s="218"/>
      <c r="V46" s="218"/>
      <c r="W46" s="218"/>
      <c r="X46" s="175"/>
      <c r="Y46" s="217"/>
      <c r="Z46" s="222">
        <f t="shared" si="9"/>
        <v>0</v>
      </c>
    </row>
    <row r="47" spans="1:26" s="212" customFormat="1" ht="18" customHeight="1" hidden="1">
      <c r="A47" s="807" t="s">
        <v>96</v>
      </c>
      <c r="B47" s="214" t="s">
        <v>81</v>
      </c>
      <c r="C47" s="214" t="s">
        <v>25</v>
      </c>
      <c r="D47" s="203"/>
      <c r="E47" s="201"/>
      <c r="F47" s="220"/>
      <c r="G47" s="203"/>
      <c r="H47" s="224"/>
      <c r="I47" s="203"/>
      <c r="J47" s="203"/>
      <c r="K47" s="203"/>
      <c r="L47" s="530"/>
      <c r="M47" s="203"/>
      <c r="N47" s="530"/>
      <c r="O47" s="203"/>
      <c r="P47" s="530"/>
      <c r="Q47" s="203"/>
      <c r="R47" s="532"/>
      <c r="S47" s="203"/>
      <c r="T47" s="221"/>
      <c r="U47" s="218"/>
      <c r="V47" s="218"/>
      <c r="W47" s="218"/>
      <c r="X47" s="140"/>
      <c r="Y47" s="217"/>
      <c r="Z47" s="219">
        <f t="shared" si="9"/>
        <v>0</v>
      </c>
    </row>
    <row r="48" spans="1:26" s="212" customFormat="1" ht="20.25" hidden="1">
      <c r="A48" s="807"/>
      <c r="B48" s="214" t="s">
        <v>83</v>
      </c>
      <c r="C48" s="214" t="s">
        <v>25</v>
      </c>
      <c r="D48" s="203"/>
      <c r="E48" s="201"/>
      <c r="F48" s="203"/>
      <c r="G48" s="203"/>
      <c r="H48" s="224"/>
      <c r="I48" s="203"/>
      <c r="J48" s="203"/>
      <c r="K48" s="229"/>
      <c r="L48" s="530"/>
      <c r="M48" s="203"/>
      <c r="N48" s="530"/>
      <c r="O48" s="203"/>
      <c r="P48" s="530"/>
      <c r="Q48" s="203"/>
      <c r="R48" s="532"/>
      <c r="S48" s="203"/>
      <c r="T48" s="221"/>
      <c r="U48" s="218"/>
      <c r="V48" s="218"/>
      <c r="W48" s="218"/>
      <c r="X48" s="140"/>
      <c r="Y48" s="217"/>
      <c r="Z48" s="219">
        <f t="shared" si="9"/>
        <v>0</v>
      </c>
    </row>
    <row r="49" spans="1:26" s="212" customFormat="1" ht="20.25" hidden="1">
      <c r="A49" s="807"/>
      <c r="B49" s="214" t="s">
        <v>84</v>
      </c>
      <c r="C49" s="214" t="s">
        <v>25</v>
      </c>
      <c r="D49" s="203"/>
      <c r="E49" s="201"/>
      <c r="F49" s="203"/>
      <c r="G49" s="203"/>
      <c r="H49" s="215"/>
      <c r="I49" s="203"/>
      <c r="J49" s="203"/>
      <c r="K49" s="203"/>
      <c r="L49" s="530"/>
      <c r="M49" s="203"/>
      <c r="N49" s="530"/>
      <c r="O49" s="203"/>
      <c r="P49" s="530"/>
      <c r="Q49" s="140"/>
      <c r="R49" s="169"/>
      <c r="S49" s="203"/>
      <c r="T49" s="221"/>
      <c r="U49" s="218"/>
      <c r="V49" s="218"/>
      <c r="W49" s="218"/>
      <c r="X49" s="140"/>
      <c r="Y49" s="217"/>
      <c r="Z49" s="222">
        <f t="shared" si="9"/>
        <v>0</v>
      </c>
    </row>
    <row r="50" spans="1:26" s="212" customFormat="1" ht="18" customHeight="1" hidden="1">
      <c r="A50" s="807" t="s">
        <v>97</v>
      </c>
      <c r="B50" s="214" t="s">
        <v>81</v>
      </c>
      <c r="C50" s="214" t="s">
        <v>25</v>
      </c>
      <c r="D50" s="203"/>
      <c r="E50" s="201"/>
      <c r="F50" s="203"/>
      <c r="G50" s="203"/>
      <c r="H50" s="215"/>
      <c r="I50" s="203"/>
      <c r="J50" s="203"/>
      <c r="K50" s="203"/>
      <c r="L50" s="530"/>
      <c r="M50" s="203"/>
      <c r="N50" s="530"/>
      <c r="O50" s="203"/>
      <c r="P50" s="530"/>
      <c r="Q50" s="203"/>
      <c r="R50" s="532"/>
      <c r="S50" s="203"/>
      <c r="T50" s="221"/>
      <c r="U50" s="218"/>
      <c r="V50" s="218"/>
      <c r="W50" s="218"/>
      <c r="X50" s="140"/>
      <c r="Y50" s="217"/>
      <c r="Z50" s="219">
        <f t="shared" si="9"/>
        <v>0</v>
      </c>
    </row>
    <row r="51" spans="1:26" s="212" customFormat="1" ht="20.25" hidden="1">
      <c r="A51" s="807"/>
      <c r="B51" s="214" t="s">
        <v>83</v>
      </c>
      <c r="C51" s="214" t="s">
        <v>25</v>
      </c>
      <c r="D51" s="203"/>
      <c r="E51" s="201"/>
      <c r="F51" s="203"/>
      <c r="G51" s="203"/>
      <c r="H51" s="215"/>
      <c r="I51" s="203"/>
      <c r="J51" s="203"/>
      <c r="K51" s="203"/>
      <c r="L51" s="530"/>
      <c r="M51" s="203"/>
      <c r="N51" s="530"/>
      <c r="O51" s="203"/>
      <c r="P51" s="530"/>
      <c r="Q51" s="203"/>
      <c r="R51" s="532"/>
      <c r="S51" s="203"/>
      <c r="T51" s="221"/>
      <c r="U51" s="218"/>
      <c r="V51" s="218"/>
      <c r="W51" s="218"/>
      <c r="X51" s="140"/>
      <c r="Y51" s="217"/>
      <c r="Z51" s="219">
        <f t="shared" si="9"/>
        <v>0</v>
      </c>
    </row>
    <row r="52" spans="1:26" s="212" customFormat="1" ht="20.25" hidden="1">
      <c r="A52" s="807"/>
      <c r="B52" s="214" t="s">
        <v>84</v>
      </c>
      <c r="C52" s="214" t="s">
        <v>25</v>
      </c>
      <c r="D52" s="203"/>
      <c r="E52" s="201"/>
      <c r="F52" s="203"/>
      <c r="G52" s="203"/>
      <c r="H52" s="215"/>
      <c r="I52" s="203"/>
      <c r="J52" s="203"/>
      <c r="K52" s="203"/>
      <c r="L52" s="530"/>
      <c r="M52" s="203"/>
      <c r="N52" s="530"/>
      <c r="O52" s="203"/>
      <c r="P52" s="530"/>
      <c r="Q52" s="175"/>
      <c r="R52" s="532"/>
      <c r="S52" s="140"/>
      <c r="T52" s="221"/>
      <c r="U52" s="218"/>
      <c r="V52" s="218"/>
      <c r="W52" s="218"/>
      <c r="X52" s="175"/>
      <c r="Y52" s="217"/>
      <c r="Z52" s="222">
        <f t="shared" si="9"/>
        <v>0</v>
      </c>
    </row>
    <row r="53" spans="1:25" ht="15" hidden="1">
      <c r="A53" s="525"/>
      <c r="B53" s="635"/>
      <c r="C53" s="636"/>
      <c r="D53" s="627"/>
      <c r="E53" s="627"/>
      <c r="F53" s="627"/>
      <c r="G53" s="628"/>
      <c r="H53" s="629"/>
      <c r="I53" s="629"/>
      <c r="J53" s="630"/>
      <c r="K53" s="631"/>
      <c r="L53" s="632"/>
      <c r="M53" s="633"/>
      <c r="N53" s="631"/>
      <c r="O53" s="632"/>
      <c r="P53" s="631"/>
      <c r="Q53" s="631"/>
      <c r="R53" s="631"/>
      <c r="S53" s="637"/>
      <c r="T53" s="634"/>
      <c r="U53" s="634"/>
      <c r="V53" s="634"/>
      <c r="W53" s="634"/>
      <c r="X53" s="634"/>
      <c r="Y53" s="634"/>
    </row>
    <row r="54" spans="1:25" ht="15.75" hidden="1">
      <c r="A54" s="634"/>
      <c r="B54" s="634"/>
      <c r="C54" s="634"/>
      <c r="D54" s="634"/>
      <c r="E54" s="638"/>
      <c r="F54" s="639"/>
      <c r="G54" s="639"/>
      <c r="H54" s="639"/>
      <c r="I54" s="639"/>
      <c r="J54" s="639"/>
      <c r="K54" s="639"/>
      <c r="L54" s="639"/>
      <c r="M54" s="639"/>
      <c r="N54" s="639"/>
      <c r="O54" s="639"/>
      <c r="P54" s="639"/>
      <c r="Q54" s="639"/>
      <c r="R54" s="639"/>
      <c r="S54" s="634"/>
      <c r="T54" s="634"/>
      <c r="U54" s="634"/>
      <c r="V54" s="634"/>
      <c r="W54" s="634"/>
      <c r="X54" s="634"/>
      <c r="Y54" s="634"/>
    </row>
    <row r="55" spans="1:25" ht="23.25" hidden="1">
      <c r="A55" s="640"/>
      <c r="B55" s="640"/>
      <c r="C55" s="640"/>
      <c r="D55" s="233" t="s">
        <v>81</v>
      </c>
      <c r="E55" s="641">
        <f>E32+G32+I32+K32+M32+O32+Q32+S32+U32+W32+Y32</f>
        <v>0</v>
      </c>
      <c r="F55" s="642"/>
      <c r="G55" s="234" t="s">
        <v>83</v>
      </c>
      <c r="H55" s="643">
        <f>E33+G33+I33+K33+M33+O33+Q33+S33+U33+W33+Y33</f>
        <v>0</v>
      </c>
      <c r="I55" s="642"/>
      <c r="J55" s="234" t="s">
        <v>84</v>
      </c>
      <c r="K55" s="644">
        <f>E34+G34+I34+K34+M34+O34+Q34+S34+U34+W34+Y34</f>
        <v>0</v>
      </c>
      <c r="L55" s="640"/>
      <c r="M55" s="640"/>
      <c r="N55" s="640"/>
      <c r="O55" s="640"/>
      <c r="P55" s="640"/>
      <c r="Q55" s="640"/>
      <c r="R55" s="640"/>
      <c r="S55" s="640"/>
      <c r="T55" s="634"/>
      <c r="U55" s="634"/>
      <c r="V55" s="634"/>
      <c r="W55" s="634"/>
      <c r="X55" s="634"/>
      <c r="Y55" s="634"/>
    </row>
    <row r="56" spans="1:25" ht="23.25" hidden="1">
      <c r="A56" s="640"/>
      <c r="B56" s="640"/>
      <c r="C56" s="640"/>
      <c r="D56" s="642"/>
      <c r="E56" s="642"/>
      <c r="F56" s="642"/>
      <c r="G56" s="642"/>
      <c r="H56" s="642"/>
      <c r="I56" s="642"/>
      <c r="J56" s="642"/>
      <c r="K56" s="642"/>
      <c r="L56" s="640"/>
      <c r="M56" s="640"/>
      <c r="N56" s="640"/>
      <c r="O56" s="645"/>
      <c r="P56" s="640"/>
      <c r="Q56" s="640"/>
      <c r="R56" s="640"/>
      <c r="S56" s="640"/>
      <c r="T56" s="634"/>
      <c r="U56" s="634"/>
      <c r="V56" s="634"/>
      <c r="W56" s="634"/>
      <c r="X56" s="634"/>
      <c r="Y56" s="634"/>
    </row>
    <row r="57" spans="1:25" ht="43.5" customHeight="1">
      <c r="A57" s="646"/>
      <c r="B57" s="646"/>
      <c r="C57" s="646"/>
      <c r="D57" s="646"/>
      <c r="E57" s="646"/>
      <c r="F57" s="646"/>
      <c r="G57" s="646"/>
      <c r="H57" s="646"/>
      <c r="I57" s="646"/>
      <c r="J57" s="646"/>
      <c r="K57" s="646"/>
      <c r="L57" s="646"/>
      <c r="M57" s="647"/>
      <c r="N57" s="646"/>
      <c r="O57" s="624"/>
      <c r="P57" s="646"/>
      <c r="Q57" s="646"/>
      <c r="R57" s="646"/>
      <c r="S57" s="646"/>
      <c r="T57" s="634"/>
      <c r="U57" s="634"/>
      <c r="V57" s="634"/>
      <c r="W57" s="634"/>
      <c r="X57" s="634"/>
      <c r="Y57" s="634"/>
    </row>
    <row r="58" spans="1:31" s="141" customFormat="1" ht="34.5" customHeight="1">
      <c r="A58" s="146" t="s">
        <v>91</v>
      </c>
      <c r="B58" s="130" t="s">
        <v>116</v>
      </c>
      <c r="C58" s="131"/>
      <c r="D58" s="132"/>
      <c r="E58" s="132"/>
      <c r="F58" s="131">
        <f aca="true" t="shared" si="10" ref="F58:F64">C58-D58</f>
        <v>0</v>
      </c>
      <c r="G58" s="133" t="e">
        <f>(D58/C58)*100</f>
        <v>#DIV/0!</v>
      </c>
      <c r="H58" s="130" t="s">
        <v>116</v>
      </c>
      <c r="I58" s="131"/>
      <c r="J58" s="134"/>
      <c r="K58" s="132"/>
      <c r="L58" s="135">
        <f>L59+L60+L61+L62+L63+L64</f>
        <v>0</v>
      </c>
      <c r="M58" s="133" t="e">
        <f>(J58/I58)*100</f>
        <v>#DIV/0!</v>
      </c>
      <c r="N58" s="130" t="s">
        <v>25</v>
      </c>
      <c r="O58" s="243"/>
      <c r="P58" s="136"/>
      <c r="Q58" s="136"/>
      <c r="R58" s="135">
        <f>O58-P58</f>
        <v>0</v>
      </c>
      <c r="S58" s="133" t="e">
        <f aca="true" t="shared" si="11" ref="S58:S64">(P58/O58)*100</f>
        <v>#DIV/0!</v>
      </c>
      <c r="T58" s="130" t="s">
        <v>116</v>
      </c>
      <c r="U58" s="138"/>
      <c r="V58" s="136"/>
      <c r="W58" s="136"/>
      <c r="X58" s="135">
        <f>U58-V58</f>
        <v>0</v>
      </c>
      <c r="Y58" s="133" t="e">
        <f aca="true" t="shared" si="12" ref="Y58:Y64">(V58/U58)*100</f>
        <v>#DIV/0!</v>
      </c>
      <c r="Z58" s="537" t="s">
        <v>25</v>
      </c>
      <c r="AA58" s="139">
        <f>AA59+AA60+AA61+AA62+AA63+AA64</f>
        <v>356.188</v>
      </c>
      <c r="AB58" s="139">
        <f>AB59+AB60+AB61+AB62+AB63+AB64</f>
        <v>0</v>
      </c>
      <c r="AC58" s="139">
        <f>AC59+AC60+AC61+AC62+AC63+AC64</f>
        <v>0</v>
      </c>
      <c r="AD58" s="140">
        <f>AA58-AB58</f>
        <v>356.188</v>
      </c>
      <c r="AE58" s="137">
        <f>(AB58/AA58)*100</f>
        <v>0</v>
      </c>
    </row>
    <row r="59" spans="1:31" s="145" customFormat="1" ht="45" customHeight="1">
      <c r="A59" s="244" t="s">
        <v>10</v>
      </c>
      <c r="B59" s="130" t="s">
        <v>116</v>
      </c>
      <c r="C59" s="132"/>
      <c r="D59" s="132"/>
      <c r="E59" s="132"/>
      <c r="F59" s="132">
        <f>C59-D59</f>
        <v>0</v>
      </c>
      <c r="G59" s="245" t="e">
        <f aca="true" t="shared" si="13" ref="G59:G64">(D59/C59)*100</f>
        <v>#DIV/0!</v>
      </c>
      <c r="H59" s="130" t="s">
        <v>116</v>
      </c>
      <c r="I59" s="616"/>
      <c r="J59" s="130"/>
      <c r="K59" s="130"/>
      <c r="L59" s="130">
        <f>I59-J59</f>
        <v>0</v>
      </c>
      <c r="M59" s="245" t="e">
        <f aca="true" t="shared" si="14" ref="M59:M64">(J59/I59)*100</f>
        <v>#DIV/0!</v>
      </c>
      <c r="N59" s="130" t="s">
        <v>25</v>
      </c>
      <c r="O59" s="130"/>
      <c r="P59" s="150"/>
      <c r="Q59" s="130"/>
      <c r="R59" s="130">
        <f>O59-P59</f>
        <v>0</v>
      </c>
      <c r="S59" s="245" t="e">
        <f t="shared" si="11"/>
        <v>#DIV/0!</v>
      </c>
      <c r="T59" s="130" t="s">
        <v>116</v>
      </c>
      <c r="U59" s="130"/>
      <c r="V59" s="130"/>
      <c r="W59" s="149"/>
      <c r="X59" s="130">
        <f aca="true" t="shared" si="15" ref="X59:X64">U59-V59</f>
        <v>0</v>
      </c>
      <c r="Y59" s="245" t="e">
        <f t="shared" si="12"/>
        <v>#DIV/0!</v>
      </c>
      <c r="Z59" s="538" t="s">
        <v>92</v>
      </c>
      <c r="AA59" s="142">
        <v>5</v>
      </c>
      <c r="AB59" s="143"/>
      <c r="AC59" s="143"/>
      <c r="AD59" s="130">
        <f aca="true" t="shared" si="16" ref="AD59:AD64">AA59-AB59</f>
        <v>5</v>
      </c>
      <c r="AE59" s="144">
        <f aca="true" t="shared" si="17" ref="AE59:AE64">(AB59/AA59)*100</f>
        <v>0</v>
      </c>
    </row>
    <row r="60" spans="1:31" s="155" customFormat="1" ht="45" customHeight="1" hidden="1">
      <c r="A60" s="146" t="s">
        <v>93</v>
      </c>
      <c r="B60" s="130" t="s">
        <v>116</v>
      </c>
      <c r="C60" s="147"/>
      <c r="D60" s="147"/>
      <c r="E60" s="132"/>
      <c r="F60" s="131">
        <f t="shared" si="10"/>
        <v>0</v>
      </c>
      <c r="G60" s="133" t="e">
        <f t="shared" si="13"/>
        <v>#DIV/0!</v>
      </c>
      <c r="H60" s="130" t="s">
        <v>116</v>
      </c>
      <c r="I60" s="247"/>
      <c r="J60" s="149"/>
      <c r="K60" s="130"/>
      <c r="L60" s="135">
        <f>I60-J60</f>
        <v>0</v>
      </c>
      <c r="M60" s="133" t="e">
        <f t="shared" si="14"/>
        <v>#DIV/0!</v>
      </c>
      <c r="N60" s="130" t="s">
        <v>25</v>
      </c>
      <c r="O60" s="135"/>
      <c r="P60" s="150"/>
      <c r="Q60" s="149"/>
      <c r="R60" s="135">
        <f>O60-P60</f>
        <v>0</v>
      </c>
      <c r="S60" s="133" t="e">
        <f t="shared" si="11"/>
        <v>#DIV/0!</v>
      </c>
      <c r="T60" s="130" t="s">
        <v>116</v>
      </c>
      <c r="U60" s="130"/>
      <c r="V60" s="149"/>
      <c r="W60" s="149"/>
      <c r="X60" s="135">
        <f t="shared" si="15"/>
        <v>0</v>
      </c>
      <c r="Y60" s="151" t="e">
        <f t="shared" si="12"/>
        <v>#DIV/0!</v>
      </c>
      <c r="Z60" s="152" t="s">
        <v>92</v>
      </c>
      <c r="AA60" s="153">
        <v>65.998</v>
      </c>
      <c r="AB60" s="153"/>
      <c r="AC60" s="154"/>
      <c r="AD60" s="140">
        <f t="shared" si="16"/>
        <v>65.998</v>
      </c>
      <c r="AE60" s="151">
        <f t="shared" si="17"/>
        <v>0</v>
      </c>
    </row>
    <row r="61" spans="1:31" s="155" customFormat="1" ht="45" customHeight="1" hidden="1">
      <c r="A61" s="156" t="s">
        <v>94</v>
      </c>
      <c r="B61" s="130" t="s">
        <v>116</v>
      </c>
      <c r="C61" s="157"/>
      <c r="D61" s="158"/>
      <c r="E61" s="159"/>
      <c r="F61" s="131">
        <f t="shared" si="10"/>
        <v>0</v>
      </c>
      <c r="G61" s="133" t="e">
        <f t="shared" si="13"/>
        <v>#DIV/0!</v>
      </c>
      <c r="H61" s="130" t="s">
        <v>116</v>
      </c>
      <c r="I61" s="160"/>
      <c r="J61" s="142"/>
      <c r="K61" s="142"/>
      <c r="L61" s="135">
        <f>I61-J61</f>
        <v>0</v>
      </c>
      <c r="M61" s="133" t="e">
        <f t="shared" si="14"/>
        <v>#DIV/0!</v>
      </c>
      <c r="N61" s="130" t="s">
        <v>25</v>
      </c>
      <c r="O61" s="161"/>
      <c r="P61" s="143"/>
      <c r="Q61" s="162"/>
      <c r="R61" s="135">
        <f>O61-P61</f>
        <v>0</v>
      </c>
      <c r="S61" s="137" t="e">
        <f t="shared" si="11"/>
        <v>#DIV/0!</v>
      </c>
      <c r="T61" s="130" t="s">
        <v>116</v>
      </c>
      <c r="U61" s="163"/>
      <c r="V61" s="162"/>
      <c r="W61" s="162"/>
      <c r="X61" s="135">
        <f t="shared" si="15"/>
        <v>0</v>
      </c>
      <c r="Y61" s="151" t="e">
        <f t="shared" si="12"/>
        <v>#DIV/0!</v>
      </c>
      <c r="Z61" s="152" t="s">
        <v>92</v>
      </c>
      <c r="AA61" s="153">
        <v>107.171</v>
      </c>
      <c r="AB61" s="153"/>
      <c r="AC61" s="154"/>
      <c r="AD61" s="140">
        <f t="shared" si="16"/>
        <v>107.171</v>
      </c>
      <c r="AE61" s="151">
        <f t="shared" si="17"/>
        <v>0</v>
      </c>
    </row>
    <row r="62" spans="1:31" s="155" customFormat="1" ht="45" customHeight="1" hidden="1">
      <c r="A62" s="156" t="s">
        <v>95</v>
      </c>
      <c r="B62" s="130" t="s">
        <v>116</v>
      </c>
      <c r="C62" s="131"/>
      <c r="D62" s="164"/>
      <c r="E62" s="164"/>
      <c r="F62" s="131">
        <f t="shared" si="10"/>
        <v>0</v>
      </c>
      <c r="G62" s="133" t="e">
        <f t="shared" si="13"/>
        <v>#DIV/0!</v>
      </c>
      <c r="H62" s="130" t="s">
        <v>116</v>
      </c>
      <c r="I62" s="165"/>
      <c r="J62" s="166"/>
      <c r="K62" s="167"/>
      <c r="L62" s="135">
        <f>I62-J62</f>
        <v>0</v>
      </c>
      <c r="M62" s="133" t="e">
        <f t="shared" si="14"/>
        <v>#DIV/0!</v>
      </c>
      <c r="N62" s="130" t="s">
        <v>25</v>
      </c>
      <c r="O62" s="135"/>
      <c r="P62" s="168"/>
      <c r="Q62" s="168"/>
      <c r="R62" s="135">
        <f>O62-P62</f>
        <v>0</v>
      </c>
      <c r="S62" s="137" t="e">
        <f t="shared" si="11"/>
        <v>#DIV/0!</v>
      </c>
      <c r="T62" s="130" t="s">
        <v>116</v>
      </c>
      <c r="U62" s="169"/>
      <c r="V62" s="167"/>
      <c r="W62" s="170"/>
      <c r="X62" s="135">
        <f t="shared" si="15"/>
        <v>0</v>
      </c>
      <c r="Y62" s="151" t="e">
        <f t="shared" si="12"/>
        <v>#DIV/0!</v>
      </c>
      <c r="Z62" s="152" t="s">
        <v>92</v>
      </c>
      <c r="AA62" s="153">
        <v>60.9</v>
      </c>
      <c r="AB62" s="153"/>
      <c r="AC62" s="153"/>
      <c r="AD62" s="140">
        <f t="shared" si="16"/>
        <v>60.9</v>
      </c>
      <c r="AE62" s="151">
        <f t="shared" si="17"/>
        <v>0</v>
      </c>
    </row>
    <row r="63" spans="1:31" s="155" customFormat="1" ht="45" customHeight="1" hidden="1">
      <c r="A63" s="156" t="s">
        <v>96</v>
      </c>
      <c r="B63" s="130" t="s">
        <v>116</v>
      </c>
      <c r="C63" s="157"/>
      <c r="D63" s="159"/>
      <c r="E63" s="159"/>
      <c r="F63" s="131">
        <f t="shared" si="10"/>
        <v>0</v>
      </c>
      <c r="G63" s="133" t="e">
        <f t="shared" si="13"/>
        <v>#DIV/0!</v>
      </c>
      <c r="H63" s="130" t="s">
        <v>116</v>
      </c>
      <c r="I63" s="171"/>
      <c r="J63" s="142"/>
      <c r="K63" s="142"/>
      <c r="L63" s="135">
        <f>I63-J63</f>
        <v>0</v>
      </c>
      <c r="M63" s="133" t="e">
        <f t="shared" si="14"/>
        <v>#DIV/0!</v>
      </c>
      <c r="N63" s="130" t="s">
        <v>25</v>
      </c>
      <c r="O63" s="172"/>
      <c r="P63" s="142"/>
      <c r="Q63" s="162"/>
      <c r="R63" s="135">
        <f>O63-P63</f>
        <v>0</v>
      </c>
      <c r="S63" s="137" t="e">
        <f t="shared" si="11"/>
        <v>#DIV/0!</v>
      </c>
      <c r="T63" s="130" t="s">
        <v>116</v>
      </c>
      <c r="U63" s="173"/>
      <c r="V63" s="142"/>
      <c r="W63" s="162"/>
      <c r="X63" s="135">
        <f t="shared" si="15"/>
        <v>0</v>
      </c>
      <c r="Y63" s="151" t="e">
        <f t="shared" si="12"/>
        <v>#DIV/0!</v>
      </c>
      <c r="Z63" s="152" t="s">
        <v>92</v>
      </c>
      <c r="AA63" s="153">
        <v>38.419</v>
      </c>
      <c r="AB63" s="174"/>
      <c r="AC63" s="154"/>
      <c r="AD63" s="140">
        <f t="shared" si="16"/>
        <v>38.419</v>
      </c>
      <c r="AE63" s="151">
        <f t="shared" si="17"/>
        <v>0</v>
      </c>
    </row>
    <row r="64" spans="1:31" s="155" customFormat="1" ht="45" customHeight="1" hidden="1">
      <c r="A64" s="146" t="s">
        <v>97</v>
      </c>
      <c r="B64" s="130" t="s">
        <v>116</v>
      </c>
      <c r="C64" s="159"/>
      <c r="D64" s="159"/>
      <c r="E64" s="132"/>
      <c r="F64" s="131">
        <f t="shared" si="10"/>
        <v>0</v>
      </c>
      <c r="G64" s="133" t="e">
        <f t="shared" si="13"/>
        <v>#DIV/0!</v>
      </c>
      <c r="H64" s="130" t="s">
        <v>116</v>
      </c>
      <c r="I64" s="165"/>
      <c r="J64" s="135"/>
      <c r="K64" s="130"/>
      <c r="L64" s="135">
        <f>I64-J64</f>
        <v>0</v>
      </c>
      <c r="M64" s="133" t="e">
        <f t="shared" si="14"/>
        <v>#DIV/0!</v>
      </c>
      <c r="N64" s="130" t="s">
        <v>25</v>
      </c>
      <c r="O64" s="169"/>
      <c r="P64" s="150"/>
      <c r="Q64" s="150"/>
      <c r="R64" s="135">
        <f>O64-P64</f>
        <v>0</v>
      </c>
      <c r="S64" s="137" t="e">
        <f t="shared" si="11"/>
        <v>#DIV/0!</v>
      </c>
      <c r="T64" s="130" t="s">
        <v>116</v>
      </c>
      <c r="U64" s="135"/>
      <c r="V64" s="248"/>
      <c r="W64" s="149"/>
      <c r="X64" s="135">
        <f t="shared" si="15"/>
        <v>0</v>
      </c>
      <c r="Y64" s="151" t="e">
        <f t="shared" si="12"/>
        <v>#DIV/0!</v>
      </c>
      <c r="Z64" s="152" t="s">
        <v>92</v>
      </c>
      <c r="AA64" s="175">
        <v>78.7</v>
      </c>
      <c r="AB64" s="175"/>
      <c r="AC64" s="175"/>
      <c r="AD64" s="140">
        <f t="shared" si="16"/>
        <v>78.7</v>
      </c>
      <c r="AE64" s="151">
        <f t="shared" si="17"/>
        <v>0</v>
      </c>
    </row>
    <row r="68" spans="1:31" ht="46.5" customHeight="1">
      <c r="A68" s="819" t="s">
        <v>117</v>
      </c>
      <c r="B68" s="769" t="s">
        <v>87</v>
      </c>
      <c r="C68" s="809" t="s">
        <v>119</v>
      </c>
      <c r="D68" s="810"/>
      <c r="E68" s="809" t="s">
        <v>120</v>
      </c>
      <c r="F68" s="810"/>
      <c r="G68" s="809" t="s">
        <v>121</v>
      </c>
      <c r="H68" s="810"/>
      <c r="I68" s="822" t="s">
        <v>122</v>
      </c>
      <c r="J68" s="824"/>
      <c r="K68" s="821" t="s">
        <v>123</v>
      </c>
      <c r="L68" s="821"/>
      <c r="M68" s="822" t="s">
        <v>128</v>
      </c>
      <c r="N68" s="823"/>
      <c r="O68" s="821" t="s">
        <v>129</v>
      </c>
      <c r="P68" s="821"/>
      <c r="Q68" s="821" t="s">
        <v>124</v>
      </c>
      <c r="R68" s="821"/>
      <c r="S68" s="821" t="s">
        <v>124</v>
      </c>
      <c r="T68" s="821"/>
      <c r="U68" s="822" t="s">
        <v>125</v>
      </c>
      <c r="V68" s="824"/>
      <c r="W68" s="822" t="s">
        <v>126</v>
      </c>
      <c r="X68" s="823"/>
      <c r="Y68" s="824"/>
      <c r="Z68" s="816" t="s">
        <v>126</v>
      </c>
      <c r="AA68" s="817"/>
      <c r="AB68" s="818"/>
      <c r="AC68" s="816" t="s">
        <v>127</v>
      </c>
      <c r="AD68" s="817"/>
      <c r="AE68" s="818"/>
    </row>
    <row r="69" spans="1:31" ht="23.25" customHeight="1">
      <c r="A69" s="820"/>
      <c r="B69" s="769"/>
      <c r="C69" s="252" t="s">
        <v>130</v>
      </c>
      <c r="D69" s="252" t="s">
        <v>17</v>
      </c>
      <c r="E69" s="252" t="s">
        <v>130</v>
      </c>
      <c r="F69" s="252" t="s">
        <v>17</v>
      </c>
      <c r="G69" s="252" t="s">
        <v>130</v>
      </c>
      <c r="H69" s="252" t="s">
        <v>17</v>
      </c>
      <c r="I69" s="252" t="s">
        <v>130</v>
      </c>
      <c r="J69" s="252" t="s">
        <v>17</v>
      </c>
      <c r="K69" s="252" t="s">
        <v>130</v>
      </c>
      <c r="L69" s="252" t="s">
        <v>17</v>
      </c>
      <c r="M69" s="252" t="s">
        <v>130</v>
      </c>
      <c r="N69" s="252" t="s">
        <v>17</v>
      </c>
      <c r="O69" s="252" t="s">
        <v>130</v>
      </c>
      <c r="P69" s="252" t="s">
        <v>17</v>
      </c>
      <c r="Q69" s="252" t="s">
        <v>130</v>
      </c>
      <c r="R69" s="252" t="s">
        <v>17</v>
      </c>
      <c r="S69" s="252" t="s">
        <v>130</v>
      </c>
      <c r="T69" s="252" t="s">
        <v>17</v>
      </c>
      <c r="U69" s="252" t="s">
        <v>130</v>
      </c>
      <c r="V69" s="252" t="s">
        <v>17</v>
      </c>
      <c r="W69" s="252" t="s">
        <v>130</v>
      </c>
      <c r="X69" s="252" t="s">
        <v>17</v>
      </c>
      <c r="Y69" s="251"/>
      <c r="Z69" s="251"/>
      <c r="AA69" s="251"/>
      <c r="AB69" s="251"/>
      <c r="AC69" s="251"/>
      <c r="AD69" s="251"/>
      <c r="AE69" s="251"/>
    </row>
    <row r="70" spans="1:24" ht="23.25">
      <c r="A70" s="811" t="s">
        <v>118</v>
      </c>
      <c r="B70" s="130" t="s">
        <v>25</v>
      </c>
      <c r="C70" s="615"/>
      <c r="D70" s="614">
        <v>2</v>
      </c>
      <c r="E70" s="615">
        <v>12</v>
      </c>
      <c r="F70" s="615">
        <f>0.5+0.5+1.2+1.5+0.5</f>
        <v>4.2</v>
      </c>
      <c r="G70" s="615">
        <v>12</v>
      </c>
      <c r="H70" s="615"/>
      <c r="I70" s="615">
        <v>12</v>
      </c>
      <c r="J70" s="615"/>
      <c r="K70" s="615">
        <v>12</v>
      </c>
      <c r="L70" s="615"/>
      <c r="M70" s="615">
        <v>12</v>
      </c>
      <c r="N70" s="615"/>
      <c r="O70" s="615">
        <v>11.03</v>
      </c>
      <c r="P70" s="615"/>
      <c r="Q70" s="615"/>
      <c r="R70" s="615"/>
      <c r="S70" s="615"/>
      <c r="T70" s="615"/>
      <c r="U70" s="615"/>
      <c r="V70" s="615"/>
      <c r="W70" s="615"/>
      <c r="X70" s="615"/>
    </row>
    <row r="71" spans="1:24" ht="23.25">
      <c r="A71" s="812"/>
      <c r="B71" s="130" t="s">
        <v>116</v>
      </c>
      <c r="C71" s="615"/>
      <c r="D71" s="649">
        <f>D70*2.27</f>
        <v>4.54</v>
      </c>
      <c r="E71" s="649">
        <f>E70*2.27</f>
        <v>27.240000000000002</v>
      </c>
      <c r="F71" s="649">
        <f>F70*2.27</f>
        <v>9.534</v>
      </c>
      <c r="G71" s="649">
        <f>G70*2.27</f>
        <v>27.240000000000002</v>
      </c>
      <c r="H71" s="615"/>
      <c r="I71" s="649">
        <f>I70*2.27</f>
        <v>27.240000000000002</v>
      </c>
      <c r="J71" s="615"/>
      <c r="K71" s="649">
        <f>K70*2.27</f>
        <v>27.240000000000002</v>
      </c>
      <c r="L71" s="615"/>
      <c r="M71" s="649">
        <f>M70*2.27</f>
        <v>27.240000000000002</v>
      </c>
      <c r="N71" s="615"/>
      <c r="O71" s="649">
        <f>O70*2.27</f>
        <v>25.0381</v>
      </c>
      <c r="P71" s="615"/>
      <c r="Q71" s="615"/>
      <c r="R71" s="615"/>
      <c r="S71" s="615"/>
      <c r="T71" s="615"/>
      <c r="U71" s="615"/>
      <c r="V71" s="615"/>
      <c r="W71" s="615"/>
      <c r="X71" s="615"/>
    </row>
    <row r="72" spans="1:24" ht="23.25">
      <c r="A72" s="813" t="s">
        <v>83</v>
      </c>
      <c r="B72" s="130" t="s">
        <v>25</v>
      </c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</row>
    <row r="73" spans="1:24" ht="23.25">
      <c r="A73" s="814"/>
      <c r="B73" s="130" t="s">
        <v>116</v>
      </c>
      <c r="C73" s="249"/>
      <c r="D73" s="249"/>
      <c r="E73" s="615"/>
      <c r="F73" s="249"/>
      <c r="G73" s="649"/>
      <c r="H73" s="615"/>
      <c r="I73" s="615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</row>
    <row r="74" spans="1:24" ht="23.25">
      <c r="A74" s="250" t="s">
        <v>84</v>
      </c>
      <c r="B74" s="130" t="s">
        <v>25</v>
      </c>
      <c r="C74" s="249"/>
      <c r="D74" s="249"/>
      <c r="E74" s="615"/>
      <c r="F74" s="615"/>
      <c r="G74" s="615"/>
      <c r="H74" s="615"/>
      <c r="I74" s="615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</row>
    <row r="75" spans="1:24" ht="23.25">
      <c r="A75" s="808" t="s">
        <v>32</v>
      </c>
      <c r="B75" s="130" t="s">
        <v>25</v>
      </c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</row>
    <row r="76" spans="1:24" ht="23.25">
      <c r="A76" s="808"/>
      <c r="B76" s="130" t="s">
        <v>116</v>
      </c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</row>
    <row r="77" spans="1:24" ht="23.25">
      <c r="A77" s="249"/>
      <c r="B77" s="249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</row>
  </sheetData>
  <sheetProtection/>
  <mergeCells count="90">
    <mergeCell ref="N4:S4"/>
    <mergeCell ref="Z68:AB68"/>
    <mergeCell ref="AC68:AE68"/>
    <mergeCell ref="A68:A69"/>
    <mergeCell ref="B68:B69"/>
    <mergeCell ref="K68:L68"/>
    <mergeCell ref="M68:N68"/>
    <mergeCell ref="O68:P68"/>
    <mergeCell ref="Q68:R68"/>
    <mergeCell ref="S68:T68"/>
    <mergeCell ref="U68:V68"/>
    <mergeCell ref="W68:Y68"/>
    <mergeCell ref="I68:J68"/>
    <mergeCell ref="V30:W30"/>
    <mergeCell ref="X30:Y30"/>
    <mergeCell ref="A32:A34"/>
    <mergeCell ref="A75:A76"/>
    <mergeCell ref="C68:D68"/>
    <mergeCell ref="E68:F68"/>
    <mergeCell ref="G68:H68"/>
    <mergeCell ref="A44:A46"/>
    <mergeCell ref="A47:A49"/>
    <mergeCell ref="A50:A52"/>
    <mergeCell ref="A70:A71"/>
    <mergeCell ref="A72:A73"/>
    <mergeCell ref="A35:A37"/>
    <mergeCell ref="A38:A40"/>
    <mergeCell ref="A41:A43"/>
    <mergeCell ref="J30:K30"/>
    <mergeCell ref="L30:M30"/>
    <mergeCell ref="N30:O30"/>
    <mergeCell ref="P30:Q30"/>
    <mergeCell ref="R30:S30"/>
    <mergeCell ref="T30:U30"/>
    <mergeCell ref="A30:A31"/>
    <mergeCell ref="B30:B31"/>
    <mergeCell ref="C30:C31"/>
    <mergeCell ref="D30:E30"/>
    <mergeCell ref="F30:G30"/>
    <mergeCell ref="H30:I30"/>
    <mergeCell ref="S16:S18"/>
    <mergeCell ref="B17:B18"/>
    <mergeCell ref="C17:C18"/>
    <mergeCell ref="D17:E17"/>
    <mergeCell ref="F17:F18"/>
    <mergeCell ref="H17:H18"/>
    <mergeCell ref="I17:I18"/>
    <mergeCell ref="J17:K17"/>
    <mergeCell ref="L17:L18"/>
    <mergeCell ref="N16:R16"/>
    <mergeCell ref="R6:R7"/>
    <mergeCell ref="A16:A18"/>
    <mergeCell ref="B16:F16"/>
    <mergeCell ref="G16:G18"/>
    <mergeCell ref="H16:L16"/>
    <mergeCell ref="M16:M18"/>
    <mergeCell ref="H6:H7"/>
    <mergeCell ref="J6:K6"/>
    <mergeCell ref="L6:L7"/>
    <mergeCell ref="N6:N7"/>
    <mergeCell ref="O6:O7"/>
    <mergeCell ref="P6:Q6"/>
    <mergeCell ref="AE5:AE7"/>
    <mergeCell ref="T6:T7"/>
    <mergeCell ref="U6:U7"/>
    <mergeCell ref="V6:W6"/>
    <mergeCell ref="X6:X7"/>
    <mergeCell ref="U5:X5"/>
    <mergeCell ref="Y5:Y7"/>
    <mergeCell ref="Z6:Z7"/>
    <mergeCell ref="AA6:AA7"/>
    <mergeCell ref="AB6:AC6"/>
    <mergeCell ref="AD6:AD7"/>
    <mergeCell ref="AA5:AD5"/>
    <mergeCell ref="A1:S1"/>
    <mergeCell ref="A2:I2"/>
    <mergeCell ref="A3:S3"/>
    <mergeCell ref="F4:I4"/>
    <mergeCell ref="A5:A7"/>
    <mergeCell ref="B5:F5"/>
    <mergeCell ref="G5:G7"/>
    <mergeCell ref="H5:L5"/>
    <mergeCell ref="M5:M7"/>
    <mergeCell ref="I6:I7"/>
    <mergeCell ref="O5:R5"/>
    <mergeCell ref="S5:S7"/>
    <mergeCell ref="B6:B7"/>
    <mergeCell ref="C6:C7"/>
    <mergeCell ref="D6:E6"/>
    <mergeCell ref="F6:F7"/>
  </mergeCells>
  <printOptions/>
  <pageMargins left="0.1968503937007874" right="0.2362204724409449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"/>
  <sheetViews>
    <sheetView zoomScale="55" zoomScaleNormal="55" zoomScaleSheetLayoutView="85" zoomScalePageLayoutView="0" workbookViewId="0" topLeftCell="B1">
      <selection activeCell="R41" sqref="R41"/>
    </sheetView>
  </sheetViews>
  <sheetFormatPr defaultColWidth="9.00390625" defaultRowHeight="12.75"/>
  <cols>
    <col min="1" max="1" width="9.125" style="498" customWidth="1"/>
    <col min="2" max="2" width="30.25390625" style="498" customWidth="1"/>
    <col min="3" max="3" width="9.125" style="654" customWidth="1"/>
    <col min="4" max="4" width="11.375" style="654" customWidth="1"/>
    <col min="5" max="5" width="13.875" style="654" customWidth="1"/>
    <col min="6" max="6" width="11.25390625" style="654" customWidth="1"/>
    <col min="7" max="7" width="9.125" style="654" customWidth="1"/>
    <col min="8" max="9" width="0" style="654" hidden="1" customWidth="1"/>
    <col min="10" max="19" width="9.125" style="654" customWidth="1"/>
    <col min="20" max="20" width="10.75390625" style="654" customWidth="1"/>
    <col min="21" max="23" width="9.125" style="654" customWidth="1"/>
    <col min="24" max="24" width="9.875" style="654" customWidth="1"/>
    <col min="25" max="25" width="10.75390625" style="654" customWidth="1"/>
    <col min="26" max="26" width="9.125" style="654" customWidth="1"/>
    <col min="27" max="27" width="40.00390625" style="654" customWidth="1"/>
  </cols>
  <sheetData>
    <row r="1" spans="1:27" ht="70.5" customHeight="1">
      <c r="A1" s="825" t="s">
        <v>417</v>
      </c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  <c r="N1" s="826"/>
      <c r="O1" s="826"/>
      <c r="P1" s="826"/>
      <c r="Q1" s="826"/>
      <c r="R1" s="826"/>
      <c r="S1" s="826"/>
      <c r="T1" s="826"/>
      <c r="U1" s="826"/>
      <c r="V1" s="826"/>
      <c r="W1" s="827"/>
      <c r="X1" s="827"/>
      <c r="Y1" s="827"/>
      <c r="Z1" s="827"/>
      <c r="AA1" s="827"/>
    </row>
    <row r="2" spans="1:25" ht="12.75">
      <c r="A2" s="651"/>
      <c r="B2" s="652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/>
      <c r="V2" s="651"/>
      <c r="W2" s="653"/>
      <c r="X2" s="653"/>
      <c r="Y2" s="653"/>
    </row>
    <row r="3" spans="1:27" ht="15.75">
      <c r="A3" s="655" t="s">
        <v>382</v>
      </c>
      <c r="B3" s="655"/>
      <c r="C3" s="828" t="s">
        <v>342</v>
      </c>
      <c r="D3" s="828"/>
      <c r="E3" s="828"/>
      <c r="F3" s="828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6"/>
      <c r="W3" s="653"/>
      <c r="X3" s="653"/>
      <c r="Y3" s="653"/>
      <c r="AA3" s="684">
        <f>Свод!H3</f>
        <v>40959</v>
      </c>
    </row>
    <row r="4" spans="1:25" ht="15.75">
      <c r="A4" s="655" t="s">
        <v>383</v>
      </c>
      <c r="B4" s="655"/>
      <c r="C4" s="838" t="s">
        <v>418</v>
      </c>
      <c r="D4" s="838"/>
      <c r="E4" s="838"/>
      <c r="F4" s="838"/>
      <c r="G4" s="838"/>
      <c r="H4" s="838"/>
      <c r="I4" s="838"/>
      <c r="J4" s="838"/>
      <c r="K4" s="838"/>
      <c r="L4" s="838"/>
      <c r="M4" s="838"/>
      <c r="N4" s="838"/>
      <c r="O4" s="838"/>
      <c r="P4" s="651"/>
      <c r="Q4" s="651"/>
      <c r="R4" s="651"/>
      <c r="S4" s="651"/>
      <c r="T4" s="651"/>
      <c r="U4" s="651"/>
      <c r="V4" s="656"/>
      <c r="W4" s="653"/>
      <c r="X4" s="653"/>
      <c r="Y4" s="653"/>
    </row>
    <row r="5" spans="1:25" ht="15.75">
      <c r="A5" s="655" t="s">
        <v>384</v>
      </c>
      <c r="B5" s="655"/>
      <c r="C5" s="657"/>
      <c r="D5" s="657"/>
      <c r="E5" s="657"/>
      <c r="F5" s="657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6"/>
      <c r="W5" s="653"/>
      <c r="X5" s="653"/>
      <c r="Y5" s="653"/>
    </row>
    <row r="6" spans="1:25" ht="15.75">
      <c r="A6" s="655" t="s">
        <v>385</v>
      </c>
      <c r="B6" s="655"/>
      <c r="C6" s="657" t="s">
        <v>386</v>
      </c>
      <c r="D6" s="657"/>
      <c r="E6" s="657"/>
      <c r="F6" s="657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  <c r="S6" s="651"/>
      <c r="T6" s="651"/>
      <c r="U6" s="651"/>
      <c r="V6" s="651"/>
      <c r="W6" s="653"/>
      <c r="X6" s="653"/>
      <c r="Y6" s="653"/>
    </row>
    <row r="7" spans="1:25" ht="14.25">
      <c r="A7" s="651"/>
      <c r="B7" s="658"/>
      <c r="C7" s="659"/>
      <c r="D7" s="659"/>
      <c r="E7" s="659"/>
      <c r="F7" s="659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3"/>
      <c r="X7" s="653"/>
      <c r="Y7" s="653"/>
    </row>
    <row r="8" spans="1:27" ht="15.75" customHeight="1">
      <c r="A8" s="829" t="s">
        <v>263</v>
      </c>
      <c r="B8" s="829" t="s">
        <v>341</v>
      </c>
      <c r="C8" s="829" t="s">
        <v>387</v>
      </c>
      <c r="D8" s="830" t="s">
        <v>388</v>
      </c>
      <c r="E8" s="831"/>
      <c r="F8" s="832" t="s">
        <v>389</v>
      </c>
      <c r="G8" s="832"/>
      <c r="H8" s="832" t="s">
        <v>390</v>
      </c>
      <c r="I8" s="832"/>
      <c r="J8" s="833" t="s">
        <v>391</v>
      </c>
      <c r="K8" s="834"/>
      <c r="L8" s="833" t="s">
        <v>104</v>
      </c>
      <c r="M8" s="834"/>
      <c r="N8" s="660" t="s">
        <v>105</v>
      </c>
      <c r="O8" s="660" t="s">
        <v>392</v>
      </c>
      <c r="P8" s="660" t="s">
        <v>107</v>
      </c>
      <c r="Q8" s="660" t="s">
        <v>108</v>
      </c>
      <c r="R8" s="660" t="s">
        <v>109</v>
      </c>
      <c r="S8" s="660" t="s">
        <v>110</v>
      </c>
      <c r="T8" s="660" t="s">
        <v>111</v>
      </c>
      <c r="U8" s="661" t="s">
        <v>393</v>
      </c>
      <c r="V8" s="661" t="s">
        <v>394</v>
      </c>
      <c r="W8" s="830" t="s">
        <v>395</v>
      </c>
      <c r="X8" s="835"/>
      <c r="Y8" s="831"/>
      <c r="Z8" s="836" t="s">
        <v>396</v>
      </c>
      <c r="AA8" s="836" t="s">
        <v>397</v>
      </c>
    </row>
    <row r="9" spans="1:27" ht="78.75">
      <c r="A9" s="829"/>
      <c r="B9" s="829"/>
      <c r="C9" s="829"/>
      <c r="D9" s="662" t="s">
        <v>133</v>
      </c>
      <c r="E9" s="662" t="s">
        <v>398</v>
      </c>
      <c r="F9" s="660" t="s">
        <v>399</v>
      </c>
      <c r="G9" s="660" t="s">
        <v>88</v>
      </c>
      <c r="H9" s="660" t="s">
        <v>399</v>
      </c>
      <c r="I9" s="660" t="s">
        <v>88</v>
      </c>
      <c r="J9" s="660" t="s">
        <v>399</v>
      </c>
      <c r="K9" s="660" t="s">
        <v>88</v>
      </c>
      <c r="L9" s="660" t="s">
        <v>399</v>
      </c>
      <c r="M9" s="660" t="s">
        <v>88</v>
      </c>
      <c r="N9" s="660" t="s">
        <v>399</v>
      </c>
      <c r="O9" s="660" t="s">
        <v>399</v>
      </c>
      <c r="P9" s="660" t="s">
        <v>399</v>
      </c>
      <c r="Q9" s="660" t="s">
        <v>399</v>
      </c>
      <c r="R9" s="660" t="s">
        <v>399</v>
      </c>
      <c r="S9" s="660" t="s">
        <v>399</v>
      </c>
      <c r="T9" s="660" t="s">
        <v>399</v>
      </c>
      <c r="U9" s="661" t="s">
        <v>399</v>
      </c>
      <c r="V9" s="661" t="s">
        <v>399</v>
      </c>
      <c r="W9" s="662" t="s">
        <v>133</v>
      </c>
      <c r="X9" s="662" t="s">
        <v>398</v>
      </c>
      <c r="Y9" s="662" t="s">
        <v>400</v>
      </c>
      <c r="Z9" s="837"/>
      <c r="AA9" s="837"/>
    </row>
    <row r="10" spans="1:27" ht="47.25">
      <c r="A10" s="660">
        <v>1</v>
      </c>
      <c r="B10" s="663" t="s">
        <v>401</v>
      </c>
      <c r="C10" s="664" t="s">
        <v>25</v>
      </c>
      <c r="D10" s="409">
        <v>536.20196</v>
      </c>
      <c r="E10" s="410">
        <f>(D10*1000*1687.5)/1000000</f>
        <v>904.8408074999999</v>
      </c>
      <c r="F10" s="410">
        <v>376.4748</v>
      </c>
      <c r="G10" s="410">
        <f>W10</f>
        <v>309.64</v>
      </c>
      <c r="H10" s="665"/>
      <c r="I10" s="665"/>
      <c r="J10" s="665"/>
      <c r="K10" s="665">
        <v>2</v>
      </c>
      <c r="L10" s="664">
        <v>12</v>
      </c>
      <c r="M10" s="664">
        <f>0.5+0.5+1.2+0.5</f>
        <v>2.7</v>
      </c>
      <c r="N10" s="664">
        <v>12</v>
      </c>
      <c r="O10" s="664">
        <v>12</v>
      </c>
      <c r="P10" s="664">
        <v>12</v>
      </c>
      <c r="Q10" s="664">
        <v>12</v>
      </c>
      <c r="R10" s="664">
        <v>11.03</v>
      </c>
      <c r="S10" s="664"/>
      <c r="T10" s="664"/>
      <c r="U10" s="664"/>
      <c r="V10" s="664"/>
      <c r="W10" s="416">
        <f>303.44+0.2+0.35+0.2+0.3+0.25+0.2+0.3+0.2+0.5+0.5+1.2+1.5+0.5</f>
        <v>309.64</v>
      </c>
      <c r="X10" s="410">
        <f>(W10*1000*1687.5)/1000000</f>
        <v>522.5175</v>
      </c>
      <c r="Y10" s="415">
        <f>X10</f>
        <v>522.5175</v>
      </c>
      <c r="Z10" s="666">
        <v>1</v>
      </c>
      <c r="AA10" s="253" t="s">
        <v>364</v>
      </c>
    </row>
    <row r="11" spans="1:27" ht="47.25">
      <c r="A11" s="660"/>
      <c r="B11" s="667" t="s">
        <v>402</v>
      </c>
      <c r="C11" s="664" t="s">
        <v>25</v>
      </c>
      <c r="D11" s="664">
        <v>107.765</v>
      </c>
      <c r="E11" s="410">
        <f>(D11*1000*1687.5)/1000000</f>
        <v>181.8534375</v>
      </c>
      <c r="F11" s="668">
        <v>72.4628</v>
      </c>
      <c r="G11" s="668">
        <v>59.002</v>
      </c>
      <c r="H11" s="665"/>
      <c r="I11" s="665"/>
      <c r="J11" s="665"/>
      <c r="K11" s="665"/>
      <c r="L11" s="665">
        <v>2.68</v>
      </c>
      <c r="M11" s="665"/>
      <c r="N11" s="665">
        <v>2.64</v>
      </c>
      <c r="O11" s="665">
        <v>2.64</v>
      </c>
      <c r="P11" s="665">
        <v>2.3</v>
      </c>
      <c r="Q11" s="664">
        <v>2.3</v>
      </c>
      <c r="R11" s="664">
        <v>0.9</v>
      </c>
      <c r="S11" s="664"/>
      <c r="T11" s="664"/>
      <c r="U11" s="664"/>
      <c r="V11" s="664"/>
      <c r="W11" s="669">
        <v>59.002</v>
      </c>
      <c r="X11" s="410">
        <f>(W11*1000*1687.5)/1000000</f>
        <v>99.565875</v>
      </c>
      <c r="Y11" s="670"/>
      <c r="Z11" s="671"/>
      <c r="AA11" s="253" t="s">
        <v>364</v>
      </c>
    </row>
    <row r="12" spans="1:27" ht="15.75">
      <c r="A12" s="660"/>
      <c r="B12" s="667" t="s">
        <v>403</v>
      </c>
      <c r="C12" s="664" t="s">
        <v>25</v>
      </c>
      <c r="D12" s="664">
        <v>0</v>
      </c>
      <c r="E12" s="664">
        <v>0</v>
      </c>
      <c r="F12" s="668">
        <v>0</v>
      </c>
      <c r="G12" s="668">
        <v>0</v>
      </c>
      <c r="H12" s="665"/>
      <c r="I12" s="665"/>
      <c r="J12" s="665"/>
      <c r="K12" s="665"/>
      <c r="L12" s="665"/>
      <c r="M12" s="665"/>
      <c r="N12" s="665"/>
      <c r="O12" s="665"/>
      <c r="P12" s="665"/>
      <c r="Q12" s="664"/>
      <c r="R12" s="664"/>
      <c r="S12" s="664"/>
      <c r="T12" s="664"/>
      <c r="U12" s="664"/>
      <c r="V12" s="664"/>
      <c r="W12" s="670" t="s">
        <v>406</v>
      </c>
      <c r="X12" s="670" t="s">
        <v>406</v>
      </c>
      <c r="Y12" s="670" t="s">
        <v>406</v>
      </c>
      <c r="Z12" s="671" t="s">
        <v>406</v>
      </c>
      <c r="AA12" s="672"/>
    </row>
    <row r="13" spans="1:27" ht="47.25">
      <c r="A13" s="660"/>
      <c r="B13" s="667" t="s">
        <v>404</v>
      </c>
      <c r="C13" s="664" t="s">
        <v>25</v>
      </c>
      <c r="D13" s="664">
        <v>428.437</v>
      </c>
      <c r="E13" s="410">
        <f>(D13*1000*1687.5)/1000000</f>
        <v>722.9874375</v>
      </c>
      <c r="F13" s="673">
        <v>304.012</v>
      </c>
      <c r="G13" s="673">
        <f>W13</f>
        <v>250.635</v>
      </c>
      <c r="H13" s="665"/>
      <c r="I13" s="665"/>
      <c r="J13" s="665"/>
      <c r="K13" s="665">
        <v>2</v>
      </c>
      <c r="L13" s="665">
        <f aca="true" t="shared" si="0" ref="L13:R13">L10-L11</f>
        <v>9.32</v>
      </c>
      <c r="M13" s="665">
        <v>0.5</v>
      </c>
      <c r="N13" s="665">
        <f t="shared" si="0"/>
        <v>9.36</v>
      </c>
      <c r="O13" s="665">
        <f t="shared" si="0"/>
        <v>9.36</v>
      </c>
      <c r="P13" s="665">
        <f t="shared" si="0"/>
        <v>9.7</v>
      </c>
      <c r="Q13" s="665">
        <f t="shared" si="0"/>
        <v>9.7</v>
      </c>
      <c r="R13" s="665">
        <f t="shared" si="0"/>
        <v>10.129999999999999</v>
      </c>
      <c r="S13" s="664"/>
      <c r="T13" s="664"/>
      <c r="U13" s="664"/>
      <c r="V13" s="664"/>
      <c r="W13" s="669">
        <f>244.435+2+0.5+0.5+1.2+1.5+0.5</f>
        <v>250.635</v>
      </c>
      <c r="X13" s="410">
        <f>(W13*1000*1687.5)/1000000</f>
        <v>422.9465625</v>
      </c>
      <c r="Y13" s="670"/>
      <c r="Z13" s="671"/>
      <c r="AA13" s="253" t="s">
        <v>364</v>
      </c>
    </row>
    <row r="14" spans="1:27" ht="47.25">
      <c r="A14" s="660">
        <v>2</v>
      </c>
      <c r="B14" s="663" t="s">
        <v>134</v>
      </c>
      <c r="C14" s="664" t="s">
        <v>25</v>
      </c>
      <c r="D14" s="411">
        <v>90.48462</v>
      </c>
      <c r="E14" s="410">
        <f>(D14*1000*1600)/1000000</f>
        <v>144.77539200000004</v>
      </c>
      <c r="F14" s="410">
        <v>65.37099</v>
      </c>
      <c r="G14" s="668">
        <f>W14</f>
        <v>48.908</v>
      </c>
      <c r="H14" s="665"/>
      <c r="I14" s="665"/>
      <c r="J14" s="665"/>
      <c r="K14" s="665"/>
      <c r="L14" s="665">
        <v>2.84</v>
      </c>
      <c r="M14" s="665"/>
      <c r="N14" s="665">
        <v>2.84</v>
      </c>
      <c r="O14" s="665">
        <v>2.84</v>
      </c>
      <c r="P14" s="665">
        <v>2.84</v>
      </c>
      <c r="Q14" s="665">
        <v>2.84</v>
      </c>
      <c r="R14" s="665">
        <v>2.26</v>
      </c>
      <c r="S14" s="664"/>
      <c r="T14" s="664"/>
      <c r="U14" s="664"/>
      <c r="V14" s="664"/>
      <c r="W14" s="416">
        <v>48.908</v>
      </c>
      <c r="X14" s="410">
        <f>(W14*1000*1600)/1000000</f>
        <v>78.2528</v>
      </c>
      <c r="Y14" s="415">
        <f>X14</f>
        <v>78.2528</v>
      </c>
      <c r="Z14" s="666">
        <v>1</v>
      </c>
      <c r="AA14" s="253" t="s">
        <v>364</v>
      </c>
    </row>
    <row r="15" spans="1:27" ht="15.75">
      <c r="A15" s="660"/>
      <c r="B15" s="663" t="s">
        <v>405</v>
      </c>
      <c r="C15" s="664" t="s">
        <v>25</v>
      </c>
      <c r="D15" s="664">
        <v>0</v>
      </c>
      <c r="E15" s="664">
        <v>0</v>
      </c>
      <c r="F15" s="668">
        <v>0</v>
      </c>
      <c r="G15" s="668">
        <v>0</v>
      </c>
      <c r="H15" s="665"/>
      <c r="I15" s="665"/>
      <c r="J15" s="665"/>
      <c r="K15" s="665"/>
      <c r="L15" s="665"/>
      <c r="M15" s="665"/>
      <c r="N15" s="665"/>
      <c r="O15" s="665"/>
      <c r="P15" s="665"/>
      <c r="Q15" s="664"/>
      <c r="R15" s="664"/>
      <c r="S15" s="664"/>
      <c r="T15" s="664"/>
      <c r="U15" s="664"/>
      <c r="V15" s="664"/>
      <c r="W15" s="670" t="s">
        <v>406</v>
      </c>
      <c r="X15" s="670" t="s">
        <v>406</v>
      </c>
      <c r="Y15" s="670" t="s">
        <v>406</v>
      </c>
      <c r="Z15" s="671" t="s">
        <v>406</v>
      </c>
      <c r="AA15" s="672" t="s">
        <v>406</v>
      </c>
    </row>
    <row r="16" spans="1:27" ht="15.75">
      <c r="A16" s="660">
        <v>3</v>
      </c>
      <c r="B16" s="663" t="s">
        <v>32</v>
      </c>
      <c r="C16" s="664" t="s">
        <v>25</v>
      </c>
      <c r="D16" s="664">
        <v>0</v>
      </c>
      <c r="E16" s="664">
        <v>0</v>
      </c>
      <c r="F16" s="668">
        <v>0</v>
      </c>
      <c r="G16" s="668">
        <v>0</v>
      </c>
      <c r="H16" s="665"/>
      <c r="I16" s="665"/>
      <c r="J16" s="665"/>
      <c r="K16" s="665"/>
      <c r="L16" s="665"/>
      <c r="M16" s="665"/>
      <c r="N16" s="665"/>
      <c r="O16" s="665"/>
      <c r="P16" s="665"/>
      <c r="Q16" s="664"/>
      <c r="R16" s="664"/>
      <c r="S16" s="664"/>
      <c r="T16" s="664"/>
      <c r="U16" s="664"/>
      <c r="V16" s="664"/>
      <c r="W16" s="670" t="s">
        <v>406</v>
      </c>
      <c r="X16" s="670" t="s">
        <v>406</v>
      </c>
      <c r="Y16" s="670" t="s">
        <v>406</v>
      </c>
      <c r="Z16" s="671" t="s">
        <v>406</v>
      </c>
      <c r="AA16" s="672" t="s">
        <v>406</v>
      </c>
    </row>
    <row r="17" spans="1:27" ht="47.25">
      <c r="A17" s="660">
        <v>4</v>
      </c>
      <c r="B17" s="663" t="s">
        <v>83</v>
      </c>
      <c r="C17" s="664" t="s">
        <v>25</v>
      </c>
      <c r="D17" s="412">
        <v>510.18</v>
      </c>
      <c r="E17" s="410">
        <f>(D17*1000)*872/1000000</f>
        <v>444.87696</v>
      </c>
      <c r="F17" s="414">
        <v>365.4829</v>
      </c>
      <c r="G17" s="668">
        <f>W17</f>
        <v>322.028</v>
      </c>
      <c r="H17" s="665"/>
      <c r="I17" s="665"/>
      <c r="J17" s="665"/>
      <c r="K17" s="665"/>
      <c r="L17" s="665">
        <v>14.485</v>
      </c>
      <c r="M17" s="665"/>
      <c r="N17" s="665">
        <v>14.485</v>
      </c>
      <c r="O17" s="665">
        <v>14.485</v>
      </c>
      <c r="P17" s="665"/>
      <c r="Q17" s="674"/>
      <c r="R17" s="664"/>
      <c r="S17" s="664"/>
      <c r="T17" s="664"/>
      <c r="U17" s="664"/>
      <c r="V17" s="664"/>
      <c r="W17" s="412">
        <v>322.028</v>
      </c>
      <c r="X17" s="410">
        <f>(W17*1000)*872/1000000</f>
        <v>280.808416</v>
      </c>
      <c r="Y17" s="415">
        <f>X17</f>
        <v>280.808416</v>
      </c>
      <c r="Z17" s="666">
        <v>1</v>
      </c>
      <c r="AA17" s="253" t="s">
        <v>363</v>
      </c>
    </row>
    <row r="18" spans="1:27" ht="15.75">
      <c r="A18" s="660">
        <v>5</v>
      </c>
      <c r="B18" s="663" t="s">
        <v>135</v>
      </c>
      <c r="C18" s="664" t="s">
        <v>92</v>
      </c>
      <c r="D18" s="411">
        <v>14.25312</v>
      </c>
      <c r="E18" s="415">
        <f>(14253*10000)/1000000</f>
        <v>142.53</v>
      </c>
      <c r="F18" s="412">
        <f>7132/1000</f>
        <v>7.132</v>
      </c>
      <c r="G18" s="668">
        <v>0</v>
      </c>
      <c r="H18" s="665"/>
      <c r="I18" s="665"/>
      <c r="J18" s="665"/>
      <c r="K18" s="665"/>
      <c r="L18" s="665"/>
      <c r="M18" s="665"/>
      <c r="N18" s="665"/>
      <c r="O18" s="665"/>
      <c r="P18" s="665"/>
      <c r="Q18" s="665">
        <v>0.907725</v>
      </c>
      <c r="R18" s="665">
        <v>1.745625</v>
      </c>
      <c r="S18" s="665">
        <v>1.745625</v>
      </c>
      <c r="T18" s="665">
        <v>1.745625</v>
      </c>
      <c r="U18" s="665">
        <v>0.9875949999999998</v>
      </c>
      <c r="V18" s="664"/>
      <c r="W18" s="670"/>
      <c r="X18" s="670"/>
      <c r="Y18" s="670"/>
      <c r="Z18" s="671"/>
      <c r="AA18" s="672"/>
    </row>
    <row r="19" spans="1:27" ht="31.5">
      <c r="A19" s="660">
        <v>6</v>
      </c>
      <c r="B19" s="663" t="s">
        <v>98</v>
      </c>
      <c r="C19" s="664" t="s">
        <v>92</v>
      </c>
      <c r="D19" s="412">
        <v>34.135</v>
      </c>
      <c r="E19" s="410">
        <f>(D19*1000)*74000/1000000</f>
        <v>2525.99</v>
      </c>
      <c r="F19" s="410">
        <v>21.153</v>
      </c>
      <c r="G19" s="668">
        <f>W19</f>
        <v>2.029</v>
      </c>
      <c r="H19" s="665"/>
      <c r="I19" s="665"/>
      <c r="J19" s="665"/>
      <c r="K19" s="665"/>
      <c r="L19" s="665"/>
      <c r="M19" s="665"/>
      <c r="N19" s="665"/>
      <c r="O19" s="675">
        <v>1.7894350454364683</v>
      </c>
      <c r="P19" s="675">
        <v>2.4346310828196462</v>
      </c>
      <c r="Q19" s="675">
        <v>2.9792660828196458</v>
      </c>
      <c r="R19" s="675">
        <v>3.482006082819646</v>
      </c>
      <c r="S19" s="675">
        <v>3.482006082819646</v>
      </c>
      <c r="T19" s="675">
        <v>3.482006082819646</v>
      </c>
      <c r="U19" s="675">
        <v>1.4742417608515184</v>
      </c>
      <c r="V19" s="664"/>
      <c r="W19" s="417">
        <v>2.029</v>
      </c>
      <c r="X19" s="410">
        <f>W19*1000*74000/1000000</f>
        <v>150.146</v>
      </c>
      <c r="Y19" s="415">
        <f>X19</f>
        <v>150.146</v>
      </c>
      <c r="Z19" s="676">
        <v>1</v>
      </c>
      <c r="AA19" s="677" t="s">
        <v>359</v>
      </c>
    </row>
    <row r="20" spans="1:27" ht="19.5" customHeight="1">
      <c r="A20" s="660">
        <v>7</v>
      </c>
      <c r="B20" s="663" t="s">
        <v>136</v>
      </c>
      <c r="C20" s="664" t="s">
        <v>92</v>
      </c>
      <c r="D20" s="412">
        <v>5</v>
      </c>
      <c r="E20" s="410">
        <f>(D20*1000)*19000/1000000</f>
        <v>95</v>
      </c>
      <c r="F20" s="410">
        <v>5</v>
      </c>
      <c r="G20" s="668">
        <f>W20</f>
        <v>1.2</v>
      </c>
      <c r="H20" s="665"/>
      <c r="I20" s="664"/>
      <c r="J20" s="664"/>
      <c r="K20" s="664"/>
      <c r="L20" s="664">
        <v>0.5</v>
      </c>
      <c r="M20" s="664"/>
      <c r="N20" s="664">
        <v>0.5</v>
      </c>
      <c r="O20" s="664">
        <v>0.6</v>
      </c>
      <c r="P20" s="664">
        <v>0.6</v>
      </c>
      <c r="Q20" s="664">
        <v>0.6</v>
      </c>
      <c r="R20" s="664">
        <v>0.6</v>
      </c>
      <c r="S20" s="664">
        <v>0.4</v>
      </c>
      <c r="T20" s="664"/>
      <c r="U20" s="664"/>
      <c r="V20" s="664"/>
      <c r="W20" s="414">
        <v>1.2</v>
      </c>
      <c r="X20" s="410">
        <f>(W20*1000)*19000/1000000</f>
        <v>22.8</v>
      </c>
      <c r="Y20" s="415">
        <f>X20</f>
        <v>22.8</v>
      </c>
      <c r="Z20" s="676">
        <v>1</v>
      </c>
      <c r="AA20" s="677" t="s">
        <v>419</v>
      </c>
    </row>
    <row r="21" spans="1:27" ht="31.5">
      <c r="A21" s="660">
        <v>8</v>
      </c>
      <c r="B21" s="663" t="s">
        <v>407</v>
      </c>
      <c r="C21" s="664" t="s">
        <v>25</v>
      </c>
      <c r="D21" s="412">
        <v>15.963</v>
      </c>
      <c r="E21" s="410">
        <f>(D21*1000)*70744/1000000</f>
        <v>1129.286472</v>
      </c>
      <c r="F21" s="413">
        <v>14.569</v>
      </c>
      <c r="G21" s="668">
        <f>W21</f>
        <v>6</v>
      </c>
      <c r="H21" s="665"/>
      <c r="I21" s="665"/>
      <c r="J21" s="665"/>
      <c r="K21" s="665"/>
      <c r="L21" s="665">
        <v>2.2</v>
      </c>
      <c r="M21" s="665"/>
      <c r="N21" s="665">
        <v>3.269</v>
      </c>
      <c r="O21" s="665">
        <v>3.1</v>
      </c>
      <c r="P21" s="664"/>
      <c r="Q21" s="664"/>
      <c r="R21" s="664"/>
      <c r="S21" s="664"/>
      <c r="T21" s="664"/>
      <c r="U21" s="664"/>
      <c r="V21" s="664"/>
      <c r="W21" s="418">
        <v>6</v>
      </c>
      <c r="X21" s="410">
        <f>(W21*1000)*70744/1000000</f>
        <v>424.464</v>
      </c>
      <c r="Y21" s="415">
        <f>X21</f>
        <v>424.464</v>
      </c>
      <c r="Z21" s="676">
        <v>1</v>
      </c>
      <c r="AA21" s="677" t="s">
        <v>357</v>
      </c>
    </row>
    <row r="22" spans="1:27" ht="31.5">
      <c r="A22" s="661">
        <v>9</v>
      </c>
      <c r="B22" s="663" t="s">
        <v>137</v>
      </c>
      <c r="C22" s="664" t="s">
        <v>138</v>
      </c>
      <c r="D22" s="411">
        <v>1950.16</v>
      </c>
      <c r="E22" s="413">
        <v>882.739924</v>
      </c>
      <c r="F22" s="410">
        <v>1292.01</v>
      </c>
      <c r="G22" s="668">
        <f>W22</f>
        <v>1169.25</v>
      </c>
      <c r="H22" s="678"/>
      <c r="I22" s="678"/>
      <c r="J22" s="664"/>
      <c r="K22" s="664"/>
      <c r="L22" s="664"/>
      <c r="M22" s="664"/>
      <c r="N22" s="665">
        <v>122.76</v>
      </c>
      <c r="O22" s="664"/>
      <c r="P22" s="664"/>
      <c r="Q22" s="664"/>
      <c r="R22" s="664"/>
      <c r="S22" s="664"/>
      <c r="T22" s="664"/>
      <c r="U22" s="664"/>
      <c r="V22" s="664"/>
      <c r="W22" s="417">
        <v>1169.25</v>
      </c>
      <c r="X22" s="415">
        <f>W22*0.45265</f>
        <v>529.2610125</v>
      </c>
      <c r="Y22" s="415">
        <v>0</v>
      </c>
      <c r="Z22" s="676">
        <v>1</v>
      </c>
      <c r="AA22" s="677" t="s">
        <v>360</v>
      </c>
    </row>
    <row r="23" spans="1:27" ht="15.75">
      <c r="A23" s="661">
        <v>10</v>
      </c>
      <c r="B23" s="663" t="s">
        <v>408</v>
      </c>
      <c r="C23" s="664" t="s">
        <v>23</v>
      </c>
      <c r="D23" s="412">
        <v>2593</v>
      </c>
      <c r="E23" s="411">
        <v>3.2010585</v>
      </c>
      <c r="F23" s="414">
        <v>0</v>
      </c>
      <c r="G23" s="414">
        <v>0</v>
      </c>
      <c r="H23" s="678"/>
      <c r="I23" s="678"/>
      <c r="J23" s="664"/>
      <c r="K23" s="664"/>
      <c r="L23" s="664"/>
      <c r="M23" s="664"/>
      <c r="N23" s="664"/>
      <c r="O23" s="679"/>
      <c r="P23" s="664"/>
      <c r="Q23" s="664"/>
      <c r="R23" s="664"/>
      <c r="S23" s="664"/>
      <c r="T23" s="664"/>
      <c r="U23" s="664"/>
      <c r="V23" s="664"/>
      <c r="W23" s="670"/>
      <c r="X23" s="670"/>
      <c r="Y23" s="670"/>
      <c r="Z23" s="671"/>
      <c r="AA23" s="672"/>
    </row>
    <row r="24" spans="1:27" ht="15.75">
      <c r="A24" s="661">
        <v>11</v>
      </c>
      <c r="B24" s="663" t="s">
        <v>139</v>
      </c>
      <c r="C24" s="664" t="s">
        <v>92</v>
      </c>
      <c r="D24" s="412">
        <f>26.41/1000</f>
        <v>0.02641</v>
      </c>
      <c r="E24" s="410">
        <v>32.525</v>
      </c>
      <c r="F24" s="414">
        <v>0</v>
      </c>
      <c r="G24" s="414">
        <v>0</v>
      </c>
      <c r="H24" s="678"/>
      <c r="I24" s="678"/>
      <c r="J24" s="664"/>
      <c r="K24" s="664"/>
      <c r="L24" s="664"/>
      <c r="M24" s="664"/>
      <c r="N24" s="664"/>
      <c r="O24" s="664"/>
      <c r="P24" s="680"/>
      <c r="Q24" s="664"/>
      <c r="R24" s="664"/>
      <c r="S24" s="664"/>
      <c r="T24" s="664"/>
      <c r="U24" s="664"/>
      <c r="V24" s="664"/>
      <c r="W24" s="670"/>
      <c r="X24" s="670"/>
      <c r="Y24" s="670"/>
      <c r="Z24" s="671"/>
      <c r="AA24" s="672"/>
    </row>
    <row r="25" spans="1:27" ht="15.75">
      <c r="A25" s="661">
        <v>12</v>
      </c>
      <c r="B25" s="663" t="s">
        <v>409</v>
      </c>
      <c r="C25" s="664" t="s">
        <v>141</v>
      </c>
      <c r="D25" s="412">
        <f>1440+500</f>
        <v>1940</v>
      </c>
      <c r="E25" s="413">
        <v>3.01218</v>
      </c>
      <c r="F25" s="414">
        <v>0</v>
      </c>
      <c r="G25" s="414">
        <v>0</v>
      </c>
      <c r="H25" s="678"/>
      <c r="I25" s="678"/>
      <c r="J25" s="664"/>
      <c r="K25" s="664"/>
      <c r="L25" s="664"/>
      <c r="M25" s="664"/>
      <c r="N25" s="664"/>
      <c r="O25" s="664"/>
      <c r="P25" s="664"/>
      <c r="Q25" s="664"/>
      <c r="R25" s="664"/>
      <c r="S25" s="664"/>
      <c r="T25" s="664"/>
      <c r="U25" s="664"/>
      <c r="V25" s="664"/>
      <c r="W25" s="670"/>
      <c r="X25" s="670"/>
      <c r="Y25" s="670"/>
      <c r="Z25" s="671"/>
      <c r="AA25" s="672"/>
    </row>
    <row r="26" spans="1:27" ht="15.75">
      <c r="A26" s="661">
        <v>13</v>
      </c>
      <c r="B26" s="663" t="s">
        <v>142</v>
      </c>
      <c r="C26" s="664" t="s">
        <v>23</v>
      </c>
      <c r="D26" s="412">
        <v>0.882</v>
      </c>
      <c r="E26" s="413">
        <v>9.26698</v>
      </c>
      <c r="F26" s="414">
        <v>0</v>
      </c>
      <c r="G26" s="414">
        <v>0</v>
      </c>
      <c r="H26" s="678"/>
      <c r="I26" s="678"/>
      <c r="J26" s="664"/>
      <c r="K26" s="664"/>
      <c r="L26" s="664"/>
      <c r="M26" s="664"/>
      <c r="N26" s="664"/>
      <c r="O26" s="664"/>
      <c r="P26" s="664"/>
      <c r="Q26" s="664"/>
      <c r="R26" s="664"/>
      <c r="S26" s="664"/>
      <c r="T26" s="664"/>
      <c r="U26" s="664"/>
      <c r="V26" s="664"/>
      <c r="W26" s="670"/>
      <c r="X26" s="670"/>
      <c r="Y26" s="670"/>
      <c r="Z26" s="671"/>
      <c r="AA26" s="672"/>
    </row>
    <row r="27" spans="1:27" ht="15.75">
      <c r="A27" s="661">
        <v>14</v>
      </c>
      <c r="B27" s="663" t="s">
        <v>143</v>
      </c>
      <c r="C27" s="664" t="s">
        <v>23</v>
      </c>
      <c r="D27" s="412">
        <v>1253</v>
      </c>
      <c r="E27" s="411">
        <v>69.741333</v>
      </c>
      <c r="F27" s="414">
        <v>501</v>
      </c>
      <c r="G27" s="414">
        <v>0</v>
      </c>
      <c r="H27" s="678"/>
      <c r="I27" s="678"/>
      <c r="J27" s="664"/>
      <c r="K27" s="664"/>
      <c r="L27" s="664"/>
      <c r="M27" s="664"/>
      <c r="N27" s="664"/>
      <c r="O27" s="664"/>
      <c r="P27" s="664"/>
      <c r="Q27" s="664"/>
      <c r="R27" s="664"/>
      <c r="T27" s="664"/>
      <c r="U27" s="664">
        <v>250</v>
      </c>
      <c r="V27" s="664">
        <v>251</v>
      </c>
      <c r="W27" s="670"/>
      <c r="X27" s="670"/>
      <c r="Y27" s="670"/>
      <c r="Z27" s="671"/>
      <c r="AA27" s="672"/>
    </row>
    <row r="28" spans="1:27" ht="15.75">
      <c r="A28" s="661">
        <v>15</v>
      </c>
      <c r="B28" s="663" t="s">
        <v>410</v>
      </c>
      <c r="C28" s="664" t="s">
        <v>141</v>
      </c>
      <c r="D28" s="412">
        <f>3249+42694</f>
        <v>45943</v>
      </c>
      <c r="E28" s="413">
        <v>258.988224</v>
      </c>
      <c r="F28" s="414">
        <v>0</v>
      </c>
      <c r="G28" s="414">
        <v>0</v>
      </c>
      <c r="H28" s="678"/>
      <c r="I28" s="678"/>
      <c r="J28" s="664"/>
      <c r="K28" s="664"/>
      <c r="L28" s="664"/>
      <c r="M28" s="664"/>
      <c r="N28" s="664"/>
      <c r="O28" s="664"/>
      <c r="P28" s="664"/>
      <c r="Q28" s="664"/>
      <c r="R28" s="664"/>
      <c r="S28" s="664"/>
      <c r="T28" s="664"/>
      <c r="U28" s="664"/>
      <c r="V28" s="664"/>
      <c r="W28" s="670"/>
      <c r="X28" s="670"/>
      <c r="Y28" s="670"/>
      <c r="Z28" s="671"/>
      <c r="AA28" s="672"/>
    </row>
    <row r="29" spans="1:27" ht="31.5">
      <c r="A29" s="661">
        <v>16</v>
      </c>
      <c r="B29" s="663" t="s">
        <v>411</v>
      </c>
      <c r="C29" s="664" t="s">
        <v>23</v>
      </c>
      <c r="D29" s="412">
        <v>36.16</v>
      </c>
      <c r="E29" s="414">
        <v>10.712124</v>
      </c>
      <c r="F29" s="414">
        <v>0</v>
      </c>
      <c r="G29" s="414">
        <v>0</v>
      </c>
      <c r="H29" s="678"/>
      <c r="I29" s="678"/>
      <c r="J29" s="664"/>
      <c r="K29" s="664"/>
      <c r="L29" s="664"/>
      <c r="M29" s="664"/>
      <c r="N29" s="664"/>
      <c r="O29" s="664"/>
      <c r="P29" s="664"/>
      <c r="Q29" s="664"/>
      <c r="R29" s="664"/>
      <c r="S29" s="664"/>
      <c r="T29" s="664"/>
      <c r="U29" s="664"/>
      <c r="V29" s="664"/>
      <c r="W29" s="670"/>
      <c r="X29" s="670"/>
      <c r="Y29" s="670"/>
      <c r="Z29" s="671"/>
      <c r="AA29" s="672"/>
    </row>
    <row r="30" spans="1:27" ht="15.75">
      <c r="A30" s="661">
        <v>17</v>
      </c>
      <c r="B30" s="663" t="s">
        <v>412</v>
      </c>
      <c r="C30" s="664" t="s">
        <v>140</v>
      </c>
      <c r="D30" s="412">
        <v>309.42</v>
      </c>
      <c r="E30" s="412">
        <v>181.916</v>
      </c>
      <c r="F30" s="414">
        <v>0</v>
      </c>
      <c r="G30" s="414">
        <v>0</v>
      </c>
      <c r="H30" s="678"/>
      <c r="I30" s="678"/>
      <c r="J30" s="664"/>
      <c r="K30" s="664"/>
      <c r="L30" s="664"/>
      <c r="M30" s="664"/>
      <c r="N30" s="664"/>
      <c r="O30" s="664"/>
      <c r="P30" s="664"/>
      <c r="Q30" s="664"/>
      <c r="R30" s="664"/>
      <c r="S30" s="664"/>
      <c r="T30" s="664"/>
      <c r="U30" s="664"/>
      <c r="V30" s="664"/>
      <c r="W30" s="670"/>
      <c r="X30" s="670"/>
      <c r="Y30" s="670"/>
      <c r="Z30" s="671"/>
      <c r="AA30" s="672"/>
    </row>
    <row r="31" spans="1:27" ht="15.75">
      <c r="A31" s="661">
        <v>18</v>
      </c>
      <c r="B31" s="663" t="s">
        <v>413</v>
      </c>
      <c r="C31" s="664" t="s">
        <v>140</v>
      </c>
      <c r="D31" s="412">
        <v>0</v>
      </c>
      <c r="E31" s="412">
        <v>0</v>
      </c>
      <c r="F31" s="414">
        <v>0</v>
      </c>
      <c r="G31" s="414">
        <v>0</v>
      </c>
      <c r="H31" s="678"/>
      <c r="I31" s="678"/>
      <c r="J31" s="664"/>
      <c r="K31" s="664"/>
      <c r="L31" s="664"/>
      <c r="M31" s="664"/>
      <c r="N31" s="664"/>
      <c r="O31" s="664"/>
      <c r="P31" s="664"/>
      <c r="Q31" s="664"/>
      <c r="R31" s="664"/>
      <c r="S31" s="664"/>
      <c r="T31" s="664"/>
      <c r="U31" s="664"/>
      <c r="V31" s="664"/>
      <c r="W31" s="670"/>
      <c r="X31" s="670"/>
      <c r="Y31" s="670"/>
      <c r="Z31" s="671"/>
      <c r="AA31" s="672"/>
    </row>
    <row r="32" spans="1:27" ht="15.75">
      <c r="A32" s="661">
        <v>19</v>
      </c>
      <c r="B32" s="663" t="s">
        <v>144</v>
      </c>
      <c r="C32" s="664" t="s">
        <v>92</v>
      </c>
      <c r="D32" s="412">
        <v>0.5706</v>
      </c>
      <c r="E32" s="413">
        <f>(D32*1000)*105000/1000000</f>
        <v>59.913</v>
      </c>
      <c r="F32" s="411">
        <v>0.285</v>
      </c>
      <c r="G32" s="414">
        <v>0</v>
      </c>
      <c r="H32" s="678"/>
      <c r="I32" s="678"/>
      <c r="J32" s="664"/>
      <c r="K32" s="664"/>
      <c r="L32" s="664"/>
      <c r="M32" s="664"/>
      <c r="N32" s="664"/>
      <c r="O32" s="664"/>
      <c r="P32" s="664"/>
      <c r="Q32" s="681">
        <v>0.036308999999999994</v>
      </c>
      <c r="R32" s="681">
        <v>0.069825</v>
      </c>
      <c r="S32" s="681">
        <v>0.069825</v>
      </c>
      <c r="T32" s="681">
        <v>0.069825</v>
      </c>
      <c r="U32" s="681">
        <v>0.0395038</v>
      </c>
      <c r="V32" s="664"/>
      <c r="W32" s="670"/>
      <c r="X32" s="670"/>
      <c r="Y32" s="670"/>
      <c r="Z32" s="671"/>
      <c r="AA32" s="672"/>
    </row>
    <row r="33" spans="1:27" ht="15.75">
      <c r="A33" s="661">
        <v>20</v>
      </c>
      <c r="B33" s="663" t="s">
        <v>414</v>
      </c>
      <c r="C33" s="664" t="s">
        <v>415</v>
      </c>
      <c r="D33" s="412">
        <v>0</v>
      </c>
      <c r="E33" s="412">
        <v>0</v>
      </c>
      <c r="F33" s="414">
        <v>0</v>
      </c>
      <c r="G33" s="414">
        <v>0</v>
      </c>
      <c r="H33" s="678"/>
      <c r="I33" s="678"/>
      <c r="J33" s="664"/>
      <c r="K33" s="664"/>
      <c r="L33" s="664"/>
      <c r="M33" s="664"/>
      <c r="N33" s="664"/>
      <c r="O33" s="664"/>
      <c r="P33" s="664"/>
      <c r="Q33" s="664"/>
      <c r="R33" s="664"/>
      <c r="S33" s="664"/>
      <c r="T33" s="664"/>
      <c r="U33" s="664"/>
      <c r="V33" s="664"/>
      <c r="W33" s="670"/>
      <c r="X33" s="670"/>
      <c r="Y33" s="670"/>
      <c r="Z33" s="671"/>
      <c r="AA33" s="672"/>
    </row>
    <row r="34" spans="1:27" ht="31.5">
      <c r="A34" s="661">
        <v>21</v>
      </c>
      <c r="B34" s="663" t="s">
        <v>416</v>
      </c>
      <c r="C34" s="664" t="s">
        <v>92</v>
      </c>
      <c r="D34" s="412">
        <v>0</v>
      </c>
      <c r="E34" s="412">
        <v>0</v>
      </c>
      <c r="F34" s="414">
        <v>0</v>
      </c>
      <c r="G34" s="414">
        <v>0</v>
      </c>
      <c r="H34" s="678"/>
      <c r="I34" s="678"/>
      <c r="J34" s="664"/>
      <c r="K34" s="664"/>
      <c r="L34" s="664"/>
      <c r="M34" s="664"/>
      <c r="N34" s="664"/>
      <c r="O34" s="664"/>
      <c r="P34" s="664"/>
      <c r="Q34" s="664"/>
      <c r="R34" s="664"/>
      <c r="S34" s="664"/>
      <c r="T34" s="664"/>
      <c r="U34" s="664"/>
      <c r="V34" s="664"/>
      <c r="W34" s="670"/>
      <c r="X34" s="670"/>
      <c r="Y34" s="670"/>
      <c r="Z34" s="671"/>
      <c r="AA34" s="672"/>
    </row>
    <row r="35" spans="1:27" ht="31.5">
      <c r="A35" s="661">
        <v>22</v>
      </c>
      <c r="B35" s="663" t="s">
        <v>145</v>
      </c>
      <c r="C35" s="664" t="s">
        <v>92</v>
      </c>
      <c r="D35" s="412">
        <v>0</v>
      </c>
      <c r="E35" s="412">
        <v>0</v>
      </c>
      <c r="F35" s="414">
        <v>0</v>
      </c>
      <c r="G35" s="414">
        <v>0</v>
      </c>
      <c r="H35" s="678"/>
      <c r="I35" s="678"/>
      <c r="J35" s="664"/>
      <c r="K35" s="664"/>
      <c r="L35" s="664"/>
      <c r="M35" s="664"/>
      <c r="N35" s="664"/>
      <c r="O35" s="664"/>
      <c r="P35" s="664"/>
      <c r="Q35" s="664"/>
      <c r="R35" s="664"/>
      <c r="S35" s="664"/>
      <c r="T35" s="664"/>
      <c r="U35" s="664"/>
      <c r="V35" s="664"/>
      <c r="W35" s="670"/>
      <c r="X35" s="670"/>
      <c r="Y35" s="670"/>
      <c r="Z35" s="671"/>
      <c r="AA35" s="672"/>
    </row>
    <row r="36" spans="1:27" ht="15.75">
      <c r="A36" s="661">
        <v>23</v>
      </c>
      <c r="B36" s="663" t="s">
        <v>146</v>
      </c>
      <c r="C36" s="664" t="s">
        <v>140</v>
      </c>
      <c r="D36" s="412">
        <v>0</v>
      </c>
      <c r="E36" s="412">
        <v>0</v>
      </c>
      <c r="F36" s="414">
        <v>0</v>
      </c>
      <c r="G36" s="414">
        <v>0</v>
      </c>
      <c r="H36" s="678"/>
      <c r="I36" s="678"/>
      <c r="J36" s="664"/>
      <c r="K36" s="664"/>
      <c r="L36" s="664"/>
      <c r="M36" s="664"/>
      <c r="N36" s="664"/>
      <c r="O36" s="664"/>
      <c r="P36" s="664"/>
      <c r="Q36" s="664"/>
      <c r="R36" s="664"/>
      <c r="S36" s="664"/>
      <c r="T36" s="664"/>
      <c r="U36" s="664"/>
      <c r="V36" s="664"/>
      <c r="W36" s="670"/>
      <c r="X36" s="670"/>
      <c r="Y36" s="670"/>
      <c r="Z36" s="671"/>
      <c r="AA36" s="672"/>
    </row>
    <row r="37" spans="1:25" ht="12.75">
      <c r="A37" s="682"/>
      <c r="B37" s="682"/>
      <c r="C37" s="653"/>
      <c r="D37" s="653"/>
      <c r="E37" s="653"/>
      <c r="F37" s="653"/>
      <c r="G37" s="653"/>
      <c r="H37" s="653"/>
      <c r="I37" s="653"/>
      <c r="J37" s="653"/>
      <c r="K37" s="653"/>
      <c r="L37" s="653"/>
      <c r="M37" s="653"/>
      <c r="N37" s="653"/>
      <c r="O37" s="653"/>
      <c r="P37" s="653"/>
      <c r="Q37" s="653"/>
      <c r="R37" s="653"/>
      <c r="S37" s="653"/>
      <c r="T37" s="653"/>
      <c r="U37" s="653"/>
      <c r="V37" s="653"/>
      <c r="W37" s="653"/>
      <c r="X37" s="653"/>
      <c r="Y37" s="653"/>
    </row>
    <row r="38" spans="1:25" ht="12.75">
      <c r="A38" s="682"/>
      <c r="B38" s="682"/>
      <c r="C38" s="653"/>
      <c r="D38" s="653"/>
      <c r="E38" s="653"/>
      <c r="F38" s="653"/>
      <c r="G38" s="653"/>
      <c r="H38" s="653"/>
      <c r="I38" s="653"/>
      <c r="J38" s="653"/>
      <c r="K38" s="653"/>
      <c r="L38" s="653"/>
      <c r="M38" s="653"/>
      <c r="N38" s="653"/>
      <c r="O38" s="653"/>
      <c r="P38" s="653"/>
      <c r="Q38" s="653"/>
      <c r="R38" s="653"/>
      <c r="S38" s="653"/>
      <c r="T38" s="653"/>
      <c r="U38" s="653"/>
      <c r="V38" s="653"/>
      <c r="W38" s="653"/>
      <c r="X38" s="653"/>
      <c r="Y38" s="653"/>
    </row>
    <row r="39" spans="1:25" ht="12.75">
      <c r="A39" s="682"/>
      <c r="B39" s="682"/>
      <c r="C39" s="653"/>
      <c r="D39" s="653"/>
      <c r="E39" s="653"/>
      <c r="F39" s="653"/>
      <c r="G39" s="653"/>
      <c r="H39" s="653"/>
      <c r="I39" s="653"/>
      <c r="J39" s="653"/>
      <c r="K39" s="653"/>
      <c r="L39" s="653"/>
      <c r="M39" s="653"/>
      <c r="N39" s="653"/>
      <c r="O39" s="653"/>
      <c r="P39" s="653"/>
      <c r="Q39" s="653"/>
      <c r="R39" s="653"/>
      <c r="S39" s="653"/>
      <c r="T39" s="653"/>
      <c r="U39" s="653"/>
      <c r="V39" s="653"/>
      <c r="W39" s="653"/>
      <c r="X39" s="653"/>
      <c r="Y39" s="653"/>
    </row>
    <row r="40" spans="1:25" ht="12.75">
      <c r="A40" s="682"/>
      <c r="B40" s="682"/>
      <c r="C40" s="653"/>
      <c r="D40" s="653"/>
      <c r="E40" s="653"/>
      <c r="F40" s="653"/>
      <c r="G40" s="653"/>
      <c r="H40" s="653"/>
      <c r="I40" s="653"/>
      <c r="J40" s="653"/>
      <c r="K40" s="653"/>
      <c r="L40" s="653"/>
      <c r="M40" s="653"/>
      <c r="N40" s="683"/>
      <c r="O40" s="653"/>
      <c r="P40" s="653"/>
      <c r="Q40" s="653"/>
      <c r="R40" s="653"/>
      <c r="S40" s="653"/>
      <c r="T40" s="653"/>
      <c r="U40" s="653"/>
      <c r="V40" s="653"/>
      <c r="W40" s="653"/>
      <c r="X40" s="653"/>
      <c r="Y40" s="653"/>
    </row>
    <row r="41" spans="1:25" ht="12.75">
      <c r="A41" s="682"/>
      <c r="B41" s="682"/>
      <c r="C41" s="653"/>
      <c r="D41" s="653"/>
      <c r="E41" s="653"/>
      <c r="F41" s="653"/>
      <c r="G41" s="653"/>
      <c r="H41" s="653"/>
      <c r="I41" s="653"/>
      <c r="J41" s="653"/>
      <c r="K41" s="653"/>
      <c r="L41" s="653"/>
      <c r="M41" s="653"/>
      <c r="N41" s="653"/>
      <c r="O41" s="653"/>
      <c r="P41" s="653"/>
      <c r="Q41" s="653"/>
      <c r="R41" s="653"/>
      <c r="S41" s="653"/>
      <c r="T41" s="653"/>
      <c r="U41" s="653"/>
      <c r="V41" s="653"/>
      <c r="W41" s="653"/>
      <c r="X41" s="653"/>
      <c r="Y41" s="653"/>
    </row>
    <row r="42" spans="1:25" ht="12.75">
      <c r="A42" s="682"/>
      <c r="B42" s="682"/>
      <c r="C42" s="653"/>
      <c r="D42" s="653"/>
      <c r="E42" s="653"/>
      <c r="F42" s="653"/>
      <c r="G42" s="653"/>
      <c r="H42" s="653"/>
      <c r="I42" s="653"/>
      <c r="J42" s="653"/>
      <c r="K42" s="653"/>
      <c r="L42" s="653"/>
      <c r="M42" s="653"/>
      <c r="N42" s="653"/>
      <c r="O42" s="653"/>
      <c r="P42" s="653"/>
      <c r="Q42" s="653"/>
      <c r="R42" s="653"/>
      <c r="S42" s="653"/>
      <c r="T42" s="653"/>
      <c r="U42" s="653"/>
      <c r="V42" s="653"/>
      <c r="W42" s="653"/>
      <c r="X42" s="653"/>
      <c r="Y42" s="653"/>
    </row>
    <row r="43" spans="1:25" ht="12.75">
      <c r="A43" s="682"/>
      <c r="B43" s="682"/>
      <c r="C43" s="653"/>
      <c r="D43" s="653"/>
      <c r="E43" s="653"/>
      <c r="F43" s="653"/>
      <c r="G43" s="653"/>
      <c r="H43" s="653"/>
      <c r="I43" s="653"/>
      <c r="J43" s="653"/>
      <c r="K43" s="653"/>
      <c r="L43" s="653"/>
      <c r="M43" s="653"/>
      <c r="N43" s="653"/>
      <c r="O43" s="653"/>
      <c r="P43" s="653"/>
      <c r="Q43" s="653"/>
      <c r="R43" s="653"/>
      <c r="S43" s="653"/>
      <c r="T43" s="653"/>
      <c r="U43" s="653"/>
      <c r="V43" s="653"/>
      <c r="W43" s="653"/>
      <c r="X43" s="653"/>
      <c r="Y43" s="653"/>
    </row>
    <row r="44" spans="1:25" ht="12.75">
      <c r="A44" s="682"/>
      <c r="B44" s="682"/>
      <c r="C44" s="653"/>
      <c r="D44" s="653"/>
      <c r="E44" s="653"/>
      <c r="F44" s="653"/>
      <c r="G44" s="653"/>
      <c r="H44" s="653"/>
      <c r="I44" s="653"/>
      <c r="J44" s="653"/>
      <c r="K44" s="653"/>
      <c r="L44" s="653"/>
      <c r="M44" s="653"/>
      <c r="N44" s="653"/>
      <c r="O44" s="653"/>
      <c r="P44" s="653"/>
      <c r="Q44" s="653"/>
      <c r="R44" s="653"/>
      <c r="S44" s="653"/>
      <c r="T44" s="653"/>
      <c r="U44" s="653"/>
      <c r="V44" s="653"/>
      <c r="W44" s="653"/>
      <c r="X44" s="653"/>
      <c r="Y44" s="653"/>
    </row>
    <row r="45" spans="1:25" ht="12.75">
      <c r="A45" s="682"/>
      <c r="B45" s="682"/>
      <c r="C45" s="653"/>
      <c r="D45" s="653"/>
      <c r="E45" s="653"/>
      <c r="F45" s="653"/>
      <c r="G45" s="653"/>
      <c r="H45" s="653"/>
      <c r="I45" s="653"/>
      <c r="J45" s="653"/>
      <c r="K45" s="653"/>
      <c r="L45" s="653"/>
      <c r="M45" s="653"/>
      <c r="N45" s="653"/>
      <c r="O45" s="653"/>
      <c r="P45" s="653"/>
      <c r="Q45" s="653"/>
      <c r="R45" s="653"/>
      <c r="S45" s="653"/>
      <c r="T45" s="653"/>
      <c r="U45" s="653"/>
      <c r="V45" s="653"/>
      <c r="W45" s="653"/>
      <c r="X45" s="653"/>
      <c r="Y45" s="653"/>
    </row>
    <row r="46" spans="1:25" ht="12.75">
      <c r="A46" s="682"/>
      <c r="B46" s="682"/>
      <c r="C46" s="653"/>
      <c r="D46" s="653"/>
      <c r="E46" s="653"/>
      <c r="F46" s="653"/>
      <c r="G46" s="653"/>
      <c r="H46" s="653"/>
      <c r="I46" s="653"/>
      <c r="J46" s="653"/>
      <c r="K46" s="653"/>
      <c r="L46" s="653"/>
      <c r="M46" s="653"/>
      <c r="N46" s="653"/>
      <c r="O46" s="653"/>
      <c r="P46" s="653"/>
      <c r="Q46" s="653"/>
      <c r="R46" s="653"/>
      <c r="S46" s="653"/>
      <c r="T46" s="653"/>
      <c r="U46" s="653"/>
      <c r="V46" s="653"/>
      <c r="W46" s="653"/>
      <c r="X46" s="653"/>
      <c r="Y46" s="653"/>
    </row>
    <row r="47" spans="1:25" ht="12.75">
      <c r="A47" s="682"/>
      <c r="B47" s="682"/>
      <c r="C47" s="653"/>
      <c r="D47" s="653"/>
      <c r="E47" s="653"/>
      <c r="F47" s="653"/>
      <c r="G47" s="653"/>
      <c r="H47" s="653"/>
      <c r="I47" s="653"/>
      <c r="J47" s="653"/>
      <c r="K47" s="653"/>
      <c r="L47" s="653"/>
      <c r="M47" s="653"/>
      <c r="N47" s="653"/>
      <c r="O47" s="653"/>
      <c r="P47" s="653"/>
      <c r="Q47" s="653"/>
      <c r="R47" s="653"/>
      <c r="S47" s="653"/>
      <c r="T47" s="653"/>
      <c r="U47" s="653"/>
      <c r="V47" s="653"/>
      <c r="W47" s="653"/>
      <c r="X47" s="653"/>
      <c r="Y47" s="653"/>
    </row>
    <row r="48" spans="1:25" ht="12.75">
      <c r="A48" s="682"/>
      <c r="B48" s="682"/>
      <c r="C48" s="653"/>
      <c r="D48" s="653"/>
      <c r="E48" s="653"/>
      <c r="F48" s="653"/>
      <c r="G48" s="653"/>
      <c r="H48" s="653"/>
      <c r="I48" s="653"/>
      <c r="J48" s="653"/>
      <c r="K48" s="653"/>
      <c r="L48" s="653"/>
      <c r="M48" s="653"/>
      <c r="N48" s="653"/>
      <c r="O48" s="653"/>
      <c r="P48" s="653"/>
      <c r="Q48" s="653"/>
      <c r="R48" s="653"/>
      <c r="S48" s="653"/>
      <c r="T48" s="653"/>
      <c r="U48" s="653"/>
      <c r="V48" s="653"/>
      <c r="W48" s="653"/>
      <c r="X48" s="653"/>
      <c r="Y48" s="653"/>
    </row>
    <row r="49" spans="1:25" ht="12.75">
      <c r="A49" s="682"/>
      <c r="B49" s="682"/>
      <c r="C49" s="653"/>
      <c r="D49" s="653"/>
      <c r="E49" s="653"/>
      <c r="F49" s="653"/>
      <c r="G49" s="653"/>
      <c r="H49" s="653"/>
      <c r="I49" s="653"/>
      <c r="J49" s="653"/>
      <c r="K49" s="653"/>
      <c r="L49" s="653"/>
      <c r="M49" s="653"/>
      <c r="N49" s="653"/>
      <c r="O49" s="653"/>
      <c r="P49" s="653"/>
      <c r="Q49" s="653"/>
      <c r="R49" s="653"/>
      <c r="S49" s="653"/>
      <c r="T49" s="653"/>
      <c r="U49" s="653"/>
      <c r="V49" s="653"/>
      <c r="W49" s="653"/>
      <c r="X49" s="653"/>
      <c r="Y49" s="653"/>
    </row>
    <row r="50" spans="1:25" ht="12.75">
      <c r="A50" s="682"/>
      <c r="B50" s="682"/>
      <c r="C50" s="653"/>
      <c r="D50" s="653"/>
      <c r="E50" s="653"/>
      <c r="F50" s="653"/>
      <c r="G50" s="653"/>
      <c r="H50" s="653"/>
      <c r="I50" s="653"/>
      <c r="J50" s="653"/>
      <c r="K50" s="653"/>
      <c r="L50" s="653"/>
      <c r="M50" s="653"/>
      <c r="N50" s="653"/>
      <c r="O50" s="653"/>
      <c r="P50" s="653"/>
      <c r="Q50" s="653"/>
      <c r="R50" s="653"/>
      <c r="S50" s="653"/>
      <c r="T50" s="653"/>
      <c r="U50" s="653"/>
      <c r="V50" s="653"/>
      <c r="W50" s="653"/>
      <c r="X50" s="653"/>
      <c r="Y50" s="653"/>
    </row>
    <row r="51" spans="1:25" ht="12.75">
      <c r="A51" s="682"/>
      <c r="B51" s="682"/>
      <c r="C51" s="653"/>
      <c r="D51" s="653"/>
      <c r="E51" s="653"/>
      <c r="F51" s="653"/>
      <c r="G51" s="653"/>
      <c r="H51" s="653"/>
      <c r="I51" s="653"/>
      <c r="J51" s="653"/>
      <c r="K51" s="653"/>
      <c r="L51" s="653"/>
      <c r="M51" s="653"/>
      <c r="N51" s="653"/>
      <c r="O51" s="653"/>
      <c r="P51" s="653"/>
      <c r="Q51" s="653"/>
      <c r="R51" s="653"/>
      <c r="S51" s="653"/>
      <c r="T51" s="653"/>
      <c r="U51" s="653"/>
      <c r="V51" s="653"/>
      <c r="W51" s="653"/>
      <c r="X51" s="653"/>
      <c r="Y51" s="653"/>
    </row>
    <row r="52" spans="1:25" ht="12.75">
      <c r="A52" s="682"/>
      <c r="B52" s="682"/>
      <c r="C52" s="653"/>
      <c r="D52" s="653"/>
      <c r="E52" s="653"/>
      <c r="F52" s="653"/>
      <c r="G52" s="653"/>
      <c r="H52" s="653"/>
      <c r="I52" s="653"/>
      <c r="J52" s="653"/>
      <c r="K52" s="653"/>
      <c r="L52" s="653"/>
      <c r="M52" s="653"/>
      <c r="N52" s="653"/>
      <c r="O52" s="653"/>
      <c r="P52" s="653"/>
      <c r="Q52" s="653"/>
      <c r="R52" s="653"/>
      <c r="S52" s="653"/>
      <c r="T52" s="653"/>
      <c r="U52" s="653"/>
      <c r="V52" s="653"/>
      <c r="W52" s="653"/>
      <c r="X52" s="653"/>
      <c r="Y52" s="653"/>
    </row>
    <row r="53" spans="1:25" ht="12.75">
      <c r="A53" s="682"/>
      <c r="B53" s="682"/>
      <c r="C53" s="653"/>
      <c r="D53" s="653"/>
      <c r="E53" s="653"/>
      <c r="F53" s="653"/>
      <c r="G53" s="653"/>
      <c r="H53" s="653"/>
      <c r="I53" s="653"/>
      <c r="J53" s="653"/>
      <c r="K53" s="653"/>
      <c r="L53" s="653"/>
      <c r="M53" s="653"/>
      <c r="N53" s="653"/>
      <c r="O53" s="653"/>
      <c r="P53" s="653"/>
      <c r="Q53" s="653"/>
      <c r="R53" s="653"/>
      <c r="S53" s="653"/>
      <c r="T53" s="653"/>
      <c r="U53" s="653"/>
      <c r="V53" s="653"/>
      <c r="W53" s="653"/>
      <c r="X53" s="653"/>
      <c r="Y53" s="653"/>
    </row>
    <row r="54" spans="1:25" ht="12.75">
      <c r="A54" s="682"/>
      <c r="B54" s="682"/>
      <c r="C54" s="653"/>
      <c r="D54" s="653"/>
      <c r="E54" s="653"/>
      <c r="F54" s="653"/>
      <c r="G54" s="653"/>
      <c r="H54" s="653"/>
      <c r="I54" s="653"/>
      <c r="J54" s="653"/>
      <c r="K54" s="653"/>
      <c r="L54" s="653"/>
      <c r="M54" s="653"/>
      <c r="N54" s="653"/>
      <c r="O54" s="653"/>
      <c r="P54" s="653"/>
      <c r="Q54" s="653"/>
      <c r="R54" s="653"/>
      <c r="S54" s="653"/>
      <c r="T54" s="653"/>
      <c r="U54" s="653"/>
      <c r="V54" s="653"/>
      <c r="W54" s="653"/>
      <c r="X54" s="653"/>
      <c r="Y54" s="653"/>
    </row>
    <row r="55" spans="1:25" ht="12.75">
      <c r="A55" s="682"/>
      <c r="B55" s="682"/>
      <c r="C55" s="653"/>
      <c r="D55" s="653"/>
      <c r="E55" s="653"/>
      <c r="F55" s="653"/>
      <c r="G55" s="653"/>
      <c r="H55" s="653"/>
      <c r="I55" s="653"/>
      <c r="J55" s="653"/>
      <c r="K55" s="653"/>
      <c r="L55" s="653"/>
      <c r="M55" s="653"/>
      <c r="N55" s="653"/>
      <c r="O55" s="653"/>
      <c r="P55" s="653"/>
      <c r="Q55" s="653"/>
      <c r="R55" s="653"/>
      <c r="S55" s="653"/>
      <c r="T55" s="653"/>
      <c r="U55" s="653"/>
      <c r="V55" s="653"/>
      <c r="W55" s="653"/>
      <c r="X55" s="653"/>
      <c r="Y55" s="653"/>
    </row>
    <row r="56" spans="1:25" ht="12.75">
      <c r="A56" s="682"/>
      <c r="B56" s="682"/>
      <c r="C56" s="653"/>
      <c r="D56" s="653"/>
      <c r="E56" s="653"/>
      <c r="F56" s="653"/>
      <c r="G56" s="653"/>
      <c r="H56" s="653"/>
      <c r="I56" s="653"/>
      <c r="J56" s="653"/>
      <c r="K56" s="653"/>
      <c r="L56" s="653"/>
      <c r="M56" s="653"/>
      <c r="N56" s="653"/>
      <c r="O56" s="653"/>
      <c r="P56" s="653"/>
      <c r="Q56" s="653"/>
      <c r="R56" s="653"/>
      <c r="S56" s="653"/>
      <c r="T56" s="653"/>
      <c r="U56" s="653"/>
      <c r="V56" s="653"/>
      <c r="W56" s="653"/>
      <c r="X56" s="653"/>
      <c r="Y56" s="653"/>
    </row>
    <row r="57" spans="1:25" ht="12.75">
      <c r="A57" s="682"/>
      <c r="B57" s="682"/>
      <c r="C57" s="653"/>
      <c r="D57" s="653"/>
      <c r="E57" s="653"/>
      <c r="F57" s="653"/>
      <c r="G57" s="653"/>
      <c r="H57" s="653"/>
      <c r="I57" s="653"/>
      <c r="J57" s="653"/>
      <c r="K57" s="653"/>
      <c r="L57" s="653"/>
      <c r="M57" s="653"/>
      <c r="N57" s="653"/>
      <c r="O57" s="653"/>
      <c r="P57" s="653"/>
      <c r="Q57" s="653"/>
      <c r="R57" s="653"/>
      <c r="S57" s="653"/>
      <c r="T57" s="653"/>
      <c r="U57" s="653"/>
      <c r="V57" s="653"/>
      <c r="W57" s="653"/>
      <c r="X57" s="653"/>
      <c r="Y57" s="653"/>
    </row>
    <row r="58" spans="1:25" ht="12.75">
      <c r="A58" s="682"/>
      <c r="B58" s="682"/>
      <c r="C58" s="653"/>
      <c r="D58" s="653"/>
      <c r="E58" s="653"/>
      <c r="F58" s="653"/>
      <c r="G58" s="653"/>
      <c r="H58" s="653"/>
      <c r="I58" s="653"/>
      <c r="J58" s="653"/>
      <c r="K58" s="653"/>
      <c r="L58" s="653"/>
      <c r="M58" s="653"/>
      <c r="N58" s="653"/>
      <c r="O58" s="653"/>
      <c r="P58" s="653"/>
      <c r="Q58" s="653"/>
      <c r="R58" s="653"/>
      <c r="S58" s="653"/>
      <c r="T58" s="653"/>
      <c r="U58" s="653"/>
      <c r="V58" s="653"/>
      <c r="W58" s="653"/>
      <c r="X58" s="653"/>
      <c r="Y58" s="653"/>
    </row>
    <row r="59" spans="1:25" ht="12.75">
      <c r="A59" s="682"/>
      <c r="B59" s="682"/>
      <c r="C59" s="653"/>
      <c r="D59" s="653"/>
      <c r="E59" s="653"/>
      <c r="F59" s="653"/>
      <c r="G59" s="653"/>
      <c r="H59" s="653"/>
      <c r="I59" s="653"/>
      <c r="J59" s="653"/>
      <c r="K59" s="653"/>
      <c r="L59" s="653"/>
      <c r="M59" s="653"/>
      <c r="N59" s="653"/>
      <c r="O59" s="653"/>
      <c r="P59" s="653"/>
      <c r="Q59" s="653"/>
      <c r="R59" s="653"/>
      <c r="S59" s="653"/>
      <c r="T59" s="653"/>
      <c r="U59" s="653"/>
      <c r="V59" s="653"/>
      <c r="W59" s="653"/>
      <c r="X59" s="653"/>
      <c r="Y59" s="653"/>
    </row>
    <row r="60" spans="1:25" ht="12.75">
      <c r="A60" s="682"/>
      <c r="B60" s="682"/>
      <c r="C60" s="653"/>
      <c r="D60" s="653"/>
      <c r="E60" s="653"/>
      <c r="F60" s="653"/>
      <c r="G60" s="653"/>
      <c r="H60" s="653"/>
      <c r="I60" s="653"/>
      <c r="J60" s="653"/>
      <c r="K60" s="653"/>
      <c r="L60" s="653"/>
      <c r="M60" s="653"/>
      <c r="N60" s="653"/>
      <c r="O60" s="653"/>
      <c r="P60" s="653"/>
      <c r="Q60" s="653"/>
      <c r="R60" s="653"/>
      <c r="S60" s="653"/>
      <c r="T60" s="653"/>
      <c r="U60" s="653"/>
      <c r="V60" s="653"/>
      <c r="W60" s="653"/>
      <c r="X60" s="653"/>
      <c r="Y60" s="653"/>
    </row>
    <row r="61" spans="1:25" ht="12.75">
      <c r="A61" s="682"/>
      <c r="B61" s="682"/>
      <c r="C61" s="653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</row>
    <row r="62" spans="1:25" ht="12.75">
      <c r="A62" s="682"/>
      <c r="B62" s="682"/>
      <c r="C62" s="653"/>
      <c r="D62" s="653"/>
      <c r="E62" s="653"/>
      <c r="F62" s="653"/>
      <c r="G62" s="653"/>
      <c r="H62" s="653"/>
      <c r="I62" s="653"/>
      <c r="J62" s="653"/>
      <c r="K62" s="653"/>
      <c r="L62" s="653"/>
      <c r="M62" s="653"/>
      <c r="N62" s="653"/>
      <c r="O62" s="653"/>
      <c r="P62" s="653"/>
      <c r="Q62" s="653"/>
      <c r="R62" s="653"/>
      <c r="S62" s="653"/>
      <c r="T62" s="653"/>
      <c r="U62" s="653"/>
      <c r="V62" s="653"/>
      <c r="W62" s="653"/>
      <c r="X62" s="653"/>
      <c r="Y62" s="653"/>
    </row>
  </sheetData>
  <sheetProtection/>
  <protectedRanges>
    <protectedRange sqref="D10:E10 E11 E13" name="Диапазон1_8"/>
    <protectedRange sqref="D14:E14" name="Диапазон1_1_2"/>
    <protectedRange sqref="D17:E17" name="Диапазон1_2_8"/>
    <protectedRange sqref="D18" name="Диапазон1_3_5"/>
    <protectedRange sqref="E18" name="Диапазон1_2_1_2"/>
    <protectedRange sqref="D19:E19" name="Диапазон1_4_2"/>
    <protectedRange sqref="D20:E20" name="Диапазон1_5_1"/>
    <protectedRange sqref="D21:E21" name="Диапазон1_6_1"/>
    <protectedRange sqref="D22:E36" name="Диапазон1_7_1"/>
    <protectedRange sqref="W10:Y10 X11 X13" name="Диапазон1_3_1_2"/>
    <protectedRange sqref="W14:Y14" name="Диапазон1_3_2_1"/>
    <protectedRange sqref="W17:Y17" name="Диапазон1_3_3_1"/>
    <protectedRange sqref="W19:Y22" name="Диапазон1_3_4_1"/>
    <protectedRange sqref="F10" name="Диапазон1_2_2_1"/>
    <protectedRange sqref="F14" name="Диапазон1_2_3_1"/>
    <protectedRange sqref="F17" name="Диапазон1_2_4_1"/>
    <protectedRange sqref="F18" name="Диапазон1_2_5_1"/>
    <protectedRange sqref="F19:F22" name="Диапазон1_2_6_1"/>
    <protectedRange sqref="F23:G36" name="Диапазон1_2_7_1"/>
  </protectedRanges>
  <mergeCells count="14">
    <mergeCell ref="A1:AA1"/>
    <mergeCell ref="C3:F3"/>
    <mergeCell ref="A8:A9"/>
    <mergeCell ref="B8:B9"/>
    <mergeCell ref="C8:C9"/>
    <mergeCell ref="D8:E8"/>
    <mergeCell ref="F8:G8"/>
    <mergeCell ref="H8:I8"/>
    <mergeCell ref="J8:K8"/>
    <mergeCell ref="W8:Y8"/>
    <mergeCell ref="Z8:Z9"/>
    <mergeCell ref="AA8:AA9"/>
    <mergeCell ref="C4:O4"/>
    <mergeCell ref="L8:M8"/>
  </mergeCells>
  <printOptions/>
  <pageMargins left="0.53" right="0.43" top="0.75" bottom="0.78" header="0.5118110236220472" footer="0.5118110236220472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77"/>
  <sheetViews>
    <sheetView zoomScale="55" zoomScaleNormal="55" zoomScaleSheetLayoutView="5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X100" sqref="X100"/>
    </sheetView>
  </sheetViews>
  <sheetFormatPr defaultColWidth="9.00390625" defaultRowHeight="12.75"/>
  <cols>
    <col min="1" max="1" width="5.375" style="259" customWidth="1"/>
    <col min="2" max="2" width="42.00390625" style="259" customWidth="1"/>
    <col min="3" max="3" width="22.875" style="259" customWidth="1"/>
    <col min="4" max="4" width="12.875" style="259" customWidth="1"/>
    <col min="5" max="5" width="10.125" style="259" customWidth="1"/>
    <col min="6" max="6" width="9.00390625" style="259" customWidth="1"/>
    <col min="7" max="7" width="8.25390625" style="259" customWidth="1"/>
    <col min="8" max="8" width="10.75390625" style="259" customWidth="1"/>
    <col min="9" max="9" width="8.25390625" style="259" hidden="1" customWidth="1"/>
    <col min="10" max="10" width="10.75390625" style="259" hidden="1" customWidth="1"/>
    <col min="11" max="11" width="8.25390625" style="259" hidden="1" customWidth="1"/>
    <col min="12" max="12" width="10.75390625" style="259" hidden="1" customWidth="1"/>
    <col min="13" max="13" width="8.25390625" style="259" hidden="1" customWidth="1"/>
    <col min="14" max="14" width="10.75390625" style="259" hidden="1" customWidth="1"/>
    <col min="15" max="15" width="8.25390625" style="259" hidden="1" customWidth="1"/>
    <col min="16" max="16" width="10.75390625" style="259" hidden="1" customWidth="1"/>
    <col min="17" max="17" width="8.25390625" style="259" customWidth="1"/>
    <col min="18" max="18" width="12.00390625" style="259" customWidth="1"/>
    <col min="19" max="19" width="8.25390625" style="259" hidden="1" customWidth="1"/>
    <col min="20" max="20" width="10.75390625" style="259" hidden="1" customWidth="1"/>
    <col min="21" max="21" width="8.25390625" style="259" customWidth="1"/>
    <col min="22" max="22" width="10.75390625" style="259" customWidth="1"/>
    <col min="23" max="23" width="8.25390625" style="259" customWidth="1"/>
    <col min="24" max="24" width="10.75390625" style="259" customWidth="1"/>
    <col min="25" max="25" width="8.25390625" style="259" hidden="1" customWidth="1"/>
    <col min="26" max="26" width="10.75390625" style="259" hidden="1" customWidth="1"/>
    <col min="27" max="27" width="8.25390625" style="259" customWidth="1"/>
    <col min="28" max="28" width="10.75390625" style="259" customWidth="1"/>
    <col min="29" max="29" width="8.25390625" style="259" hidden="1" customWidth="1"/>
    <col min="30" max="30" width="10.75390625" style="259" hidden="1" customWidth="1"/>
    <col min="31" max="31" width="8.25390625" style="259" hidden="1" customWidth="1"/>
    <col min="32" max="32" width="10.75390625" style="259" hidden="1" customWidth="1"/>
    <col min="33" max="33" width="8.25390625" style="259" customWidth="1"/>
    <col min="34" max="34" width="10.75390625" style="259" customWidth="1"/>
    <col min="35" max="35" width="8.25390625" style="259" customWidth="1"/>
    <col min="36" max="36" width="10.75390625" style="259" customWidth="1"/>
    <col min="37" max="37" width="8.25390625" style="259" hidden="1" customWidth="1"/>
    <col min="38" max="38" width="10.75390625" style="259" hidden="1" customWidth="1"/>
    <col min="39" max="39" width="8.25390625" style="259" customWidth="1"/>
    <col min="40" max="40" width="10.75390625" style="259" customWidth="1"/>
    <col min="41" max="41" width="8.25390625" style="259" hidden="1" customWidth="1"/>
    <col min="42" max="42" width="10.75390625" style="259" hidden="1" customWidth="1"/>
    <col min="43" max="43" width="8.25390625" style="259" hidden="1" customWidth="1"/>
    <col min="44" max="44" width="10.75390625" style="259" hidden="1" customWidth="1"/>
    <col min="45" max="45" width="8.25390625" style="259" customWidth="1"/>
    <col min="46" max="46" width="10.75390625" style="259" customWidth="1"/>
    <col min="47" max="47" width="27.00390625" style="259" customWidth="1"/>
    <col min="48" max="16384" width="9.125" style="259" customWidth="1"/>
  </cols>
  <sheetData>
    <row r="1" spans="1:5" ht="15.75">
      <c r="A1" s="258"/>
      <c r="B1" s="258"/>
      <c r="C1" s="258"/>
      <c r="D1" s="258"/>
      <c r="E1" s="258"/>
    </row>
    <row r="2" spans="1:46" ht="20.25">
      <c r="A2" s="258" t="s">
        <v>156</v>
      </c>
      <c r="B2" s="260"/>
      <c r="C2" s="839" t="s">
        <v>157</v>
      </c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  <c r="S2" s="839"/>
      <c r="T2" s="839"/>
      <c r="U2" s="839"/>
      <c r="V2" s="839"/>
      <c r="W2" s="839"/>
      <c r="X2" s="839"/>
      <c r="Y2" s="839"/>
      <c r="Z2" s="839"/>
      <c r="AA2" s="839"/>
      <c r="AB2" s="839"/>
      <c r="AC2" s="839"/>
      <c r="AD2" s="839"/>
      <c r="AE2" s="839"/>
      <c r="AF2" s="839"/>
      <c r="AG2" s="839"/>
      <c r="AH2" s="839"/>
      <c r="AI2" s="839"/>
      <c r="AJ2" s="839"/>
      <c r="AK2" s="839"/>
      <c r="AL2" s="839"/>
      <c r="AM2" s="839"/>
      <c r="AN2" s="839"/>
      <c r="AO2" s="839"/>
      <c r="AP2" s="839"/>
      <c r="AQ2" s="839"/>
      <c r="AR2" s="839"/>
      <c r="AS2" s="261"/>
      <c r="AT2" s="261"/>
    </row>
    <row r="3" spans="1:47" ht="20.25">
      <c r="A3" s="258"/>
      <c r="B3" s="262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839"/>
      <c r="O3" s="839"/>
      <c r="P3" s="839"/>
      <c r="Q3" s="839"/>
      <c r="R3" s="839"/>
      <c r="S3" s="839"/>
      <c r="T3" s="839"/>
      <c r="U3" s="839"/>
      <c r="V3" s="839"/>
      <c r="W3" s="839"/>
      <c r="X3" s="839"/>
      <c r="Y3" s="839"/>
      <c r="Z3" s="839"/>
      <c r="AA3" s="839"/>
      <c r="AB3" s="839"/>
      <c r="AC3" s="839"/>
      <c r="AD3" s="839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650">
        <f>Свод!H3</f>
        <v>40959</v>
      </c>
    </row>
    <row r="4" spans="2:5" ht="16.5" thickBot="1">
      <c r="B4" s="258"/>
      <c r="C4" s="258"/>
      <c r="D4" s="258"/>
      <c r="E4" s="258"/>
    </row>
    <row r="5" spans="1:47" ht="36" customHeight="1" thickBot="1">
      <c r="A5" s="840" t="s">
        <v>37</v>
      </c>
      <c r="B5" s="843" t="s">
        <v>158</v>
      </c>
      <c r="C5" s="846" t="s">
        <v>159</v>
      </c>
      <c r="D5" s="846" t="s">
        <v>160</v>
      </c>
      <c r="E5" s="849" t="s">
        <v>161</v>
      </c>
      <c r="F5" s="850"/>
      <c r="G5" s="870" t="s">
        <v>163</v>
      </c>
      <c r="H5" s="870"/>
      <c r="I5" s="870"/>
      <c r="J5" s="870"/>
      <c r="K5" s="870"/>
      <c r="L5" s="870"/>
      <c r="M5" s="870"/>
      <c r="N5" s="870"/>
      <c r="O5" s="870"/>
      <c r="P5" s="870"/>
      <c r="Q5" s="870"/>
      <c r="R5" s="870"/>
      <c r="S5" s="870"/>
      <c r="T5" s="870"/>
      <c r="U5" s="870"/>
      <c r="V5" s="870"/>
      <c r="W5" s="870"/>
      <c r="X5" s="870"/>
      <c r="Y5" s="449"/>
      <c r="Z5" s="449"/>
      <c r="AA5" s="870" t="s">
        <v>164</v>
      </c>
      <c r="AB5" s="870"/>
      <c r="AC5" s="870"/>
      <c r="AD5" s="870"/>
      <c r="AE5" s="870"/>
      <c r="AF5" s="870"/>
      <c r="AG5" s="870"/>
      <c r="AH5" s="870"/>
      <c r="AI5" s="870"/>
      <c r="AJ5" s="870"/>
      <c r="AK5" s="870"/>
      <c r="AL5" s="870"/>
      <c r="AM5" s="870"/>
      <c r="AN5" s="870"/>
      <c r="AO5" s="871"/>
      <c r="AP5" s="871"/>
      <c r="AQ5" s="871"/>
      <c r="AR5" s="871"/>
      <c r="AS5" s="849" t="s">
        <v>165</v>
      </c>
      <c r="AT5" s="850"/>
      <c r="AU5" s="863" t="s">
        <v>166</v>
      </c>
    </row>
    <row r="6" spans="1:47" ht="49.5" customHeight="1" thickBot="1">
      <c r="A6" s="841"/>
      <c r="B6" s="844"/>
      <c r="C6" s="847"/>
      <c r="D6" s="847"/>
      <c r="E6" s="851"/>
      <c r="F6" s="852"/>
      <c r="G6" s="859" t="s">
        <v>162</v>
      </c>
      <c r="H6" s="860"/>
      <c r="I6" s="857" t="s">
        <v>167</v>
      </c>
      <c r="J6" s="853"/>
      <c r="K6" s="853" t="s">
        <v>168</v>
      </c>
      <c r="L6" s="853"/>
      <c r="M6" s="853" t="s">
        <v>169</v>
      </c>
      <c r="N6" s="853"/>
      <c r="O6" s="853" t="s">
        <v>170</v>
      </c>
      <c r="P6" s="853"/>
      <c r="Q6" s="853" t="s">
        <v>171</v>
      </c>
      <c r="R6" s="853"/>
      <c r="S6" s="853">
        <v>22.16</v>
      </c>
      <c r="T6" s="853"/>
      <c r="U6" s="853" t="s">
        <v>172</v>
      </c>
      <c r="V6" s="853"/>
      <c r="W6" s="853" t="s">
        <v>173</v>
      </c>
      <c r="X6" s="853"/>
      <c r="Y6" s="853" t="s">
        <v>174</v>
      </c>
      <c r="Z6" s="854"/>
      <c r="AA6" s="855" t="s">
        <v>162</v>
      </c>
      <c r="AB6" s="856"/>
      <c r="AC6" s="857" t="s">
        <v>175</v>
      </c>
      <c r="AD6" s="853"/>
      <c r="AE6" s="853" t="s">
        <v>176</v>
      </c>
      <c r="AF6" s="853"/>
      <c r="AG6" s="858" t="s">
        <v>168</v>
      </c>
      <c r="AH6" s="858"/>
      <c r="AI6" s="858" t="s">
        <v>169</v>
      </c>
      <c r="AJ6" s="858"/>
      <c r="AK6" s="858" t="s">
        <v>177</v>
      </c>
      <c r="AL6" s="858"/>
      <c r="AM6" s="858" t="s">
        <v>170</v>
      </c>
      <c r="AN6" s="865"/>
      <c r="AO6" s="866" t="s">
        <v>178</v>
      </c>
      <c r="AP6" s="867"/>
      <c r="AQ6" s="868" t="s">
        <v>172</v>
      </c>
      <c r="AR6" s="869"/>
      <c r="AS6" s="861"/>
      <c r="AT6" s="862"/>
      <c r="AU6" s="864"/>
    </row>
    <row r="7" spans="1:47" ht="19.5" customHeight="1" thickBot="1">
      <c r="A7" s="842"/>
      <c r="B7" s="845"/>
      <c r="C7" s="848"/>
      <c r="D7" s="848"/>
      <c r="E7" s="462" t="s">
        <v>23</v>
      </c>
      <c r="F7" s="466" t="s">
        <v>25</v>
      </c>
      <c r="G7" s="476" t="s">
        <v>23</v>
      </c>
      <c r="H7" s="477" t="s">
        <v>25</v>
      </c>
      <c r="I7" s="464" t="s">
        <v>23</v>
      </c>
      <c r="J7" s="465" t="s">
        <v>25</v>
      </c>
      <c r="K7" s="465" t="s">
        <v>23</v>
      </c>
      <c r="L7" s="465" t="s">
        <v>25</v>
      </c>
      <c r="M7" s="465" t="s">
        <v>23</v>
      </c>
      <c r="N7" s="465" t="s">
        <v>25</v>
      </c>
      <c r="O7" s="465" t="s">
        <v>23</v>
      </c>
      <c r="P7" s="465" t="s">
        <v>25</v>
      </c>
      <c r="Q7" s="465" t="s">
        <v>23</v>
      </c>
      <c r="R7" s="465" t="s">
        <v>25</v>
      </c>
      <c r="S7" s="465" t="s">
        <v>23</v>
      </c>
      <c r="T7" s="465" t="s">
        <v>25</v>
      </c>
      <c r="U7" s="465" t="s">
        <v>23</v>
      </c>
      <c r="V7" s="465" t="s">
        <v>25</v>
      </c>
      <c r="W7" s="465" t="s">
        <v>23</v>
      </c>
      <c r="X7" s="465" t="s">
        <v>25</v>
      </c>
      <c r="Y7" s="465" t="s">
        <v>23</v>
      </c>
      <c r="Z7" s="466" t="s">
        <v>25</v>
      </c>
      <c r="AA7" s="462" t="s">
        <v>23</v>
      </c>
      <c r="AB7" s="463" t="s">
        <v>25</v>
      </c>
      <c r="AC7" s="464" t="s">
        <v>23</v>
      </c>
      <c r="AD7" s="465" t="s">
        <v>25</v>
      </c>
      <c r="AE7" s="465" t="s">
        <v>23</v>
      </c>
      <c r="AF7" s="465" t="s">
        <v>25</v>
      </c>
      <c r="AG7" s="465" t="s">
        <v>23</v>
      </c>
      <c r="AH7" s="465" t="s">
        <v>25</v>
      </c>
      <c r="AI7" s="465" t="s">
        <v>23</v>
      </c>
      <c r="AJ7" s="465" t="s">
        <v>25</v>
      </c>
      <c r="AK7" s="465" t="s">
        <v>23</v>
      </c>
      <c r="AL7" s="465" t="s">
        <v>25</v>
      </c>
      <c r="AM7" s="465" t="s">
        <v>23</v>
      </c>
      <c r="AN7" s="465" t="s">
        <v>25</v>
      </c>
      <c r="AO7" s="457" t="s">
        <v>23</v>
      </c>
      <c r="AP7" s="457" t="s">
        <v>25</v>
      </c>
      <c r="AQ7" s="457" t="s">
        <v>23</v>
      </c>
      <c r="AR7" s="458" t="s">
        <v>25</v>
      </c>
      <c r="AS7" s="459" t="s">
        <v>23</v>
      </c>
      <c r="AT7" s="460" t="s">
        <v>25</v>
      </c>
      <c r="AU7" s="461"/>
    </row>
    <row r="8" spans="1:47" ht="28.5" customHeight="1">
      <c r="A8" s="472">
        <v>1</v>
      </c>
      <c r="B8" s="469" t="s">
        <v>179</v>
      </c>
      <c r="C8" s="888" t="s">
        <v>361</v>
      </c>
      <c r="D8" s="891">
        <v>57.6</v>
      </c>
      <c r="E8" s="454">
        <v>1976</v>
      </c>
      <c r="F8" s="451">
        <v>2.7091</v>
      </c>
      <c r="G8" s="454">
        <f>Q8+U8+W8</f>
        <v>351</v>
      </c>
      <c r="H8" s="455">
        <f>R8+V8+X8</f>
        <v>4.59984</v>
      </c>
      <c r="I8" s="452">
        <v>0</v>
      </c>
      <c r="J8" s="264">
        <v>0</v>
      </c>
      <c r="K8" s="264">
        <v>0</v>
      </c>
      <c r="L8" s="264">
        <v>0</v>
      </c>
      <c r="M8" s="264">
        <v>0</v>
      </c>
      <c r="N8" s="264">
        <v>0</v>
      </c>
      <c r="O8" s="264">
        <v>0</v>
      </c>
      <c r="P8" s="264">
        <v>0</v>
      </c>
      <c r="Q8" s="450">
        <v>20</v>
      </c>
      <c r="R8" s="453">
        <v>0.1532</v>
      </c>
      <c r="S8" s="264"/>
      <c r="T8" s="264"/>
      <c r="U8" s="450">
        <v>91</v>
      </c>
      <c r="V8" s="453">
        <v>0.82264</v>
      </c>
      <c r="W8" s="450">
        <v>240</v>
      </c>
      <c r="X8" s="453">
        <v>3.624</v>
      </c>
      <c r="Y8" s="264"/>
      <c r="Z8" s="451"/>
      <c r="AA8" s="454">
        <f>AG8+AI8+AM8</f>
        <v>398</v>
      </c>
      <c r="AB8" s="455">
        <f>AH8+AJ8+AN8</f>
        <v>2.15318</v>
      </c>
      <c r="AC8" s="452"/>
      <c r="AD8" s="264"/>
      <c r="AE8" s="264"/>
      <c r="AF8" s="264"/>
      <c r="AG8" s="450">
        <v>72</v>
      </c>
      <c r="AH8" s="456">
        <v>0.2448</v>
      </c>
      <c r="AI8" s="450">
        <v>192</v>
      </c>
      <c r="AJ8" s="453">
        <v>1.03872</v>
      </c>
      <c r="AK8" s="264"/>
      <c r="AL8" s="264"/>
      <c r="AM8" s="450">
        <v>134</v>
      </c>
      <c r="AN8" s="456">
        <v>0.86966</v>
      </c>
      <c r="AO8" s="264"/>
      <c r="AP8" s="264"/>
      <c r="AQ8" s="264"/>
      <c r="AR8" s="482"/>
      <c r="AS8" s="485"/>
      <c r="AT8" s="486">
        <v>6.50088</v>
      </c>
      <c r="AU8" s="882" t="s">
        <v>362</v>
      </c>
    </row>
    <row r="9" spans="1:47" ht="28.5" customHeight="1">
      <c r="A9" s="473">
        <v>2</v>
      </c>
      <c r="B9" s="470" t="s">
        <v>180</v>
      </c>
      <c r="C9" s="889"/>
      <c r="D9" s="892"/>
      <c r="E9" s="467">
        <v>1017</v>
      </c>
      <c r="F9" s="423">
        <v>1.3943</v>
      </c>
      <c r="G9" s="428">
        <v>0</v>
      </c>
      <c r="H9" s="429">
        <v>0</v>
      </c>
      <c r="I9" s="424">
        <v>0</v>
      </c>
      <c r="J9" s="265">
        <v>0</v>
      </c>
      <c r="K9" s="265">
        <v>0</v>
      </c>
      <c r="L9" s="265">
        <v>0</v>
      </c>
      <c r="M9" s="265">
        <v>0</v>
      </c>
      <c r="N9" s="265">
        <v>0</v>
      </c>
      <c r="O9" s="265">
        <v>0</v>
      </c>
      <c r="P9" s="265">
        <v>0</v>
      </c>
      <c r="Q9" s="265">
        <v>0</v>
      </c>
      <c r="R9" s="421">
        <v>0</v>
      </c>
      <c r="S9" s="265">
        <v>0</v>
      </c>
      <c r="T9" s="265">
        <v>0</v>
      </c>
      <c r="U9" s="265">
        <v>0</v>
      </c>
      <c r="V9" s="421">
        <v>0</v>
      </c>
      <c r="W9" s="419">
        <v>0</v>
      </c>
      <c r="X9" s="265">
        <v>0</v>
      </c>
      <c r="Y9" s="265">
        <v>0</v>
      </c>
      <c r="Z9" s="423">
        <v>0</v>
      </c>
      <c r="AA9" s="425">
        <f>AG9+AI9+AM9</f>
        <v>0</v>
      </c>
      <c r="AB9" s="426">
        <f>AH9+AJ9+AN9</f>
        <v>0</v>
      </c>
      <c r="AC9" s="424">
        <v>0</v>
      </c>
      <c r="AD9" s="265">
        <v>0</v>
      </c>
      <c r="AE9" s="265">
        <v>0</v>
      </c>
      <c r="AF9" s="265">
        <v>0</v>
      </c>
      <c r="AG9" s="265">
        <v>0</v>
      </c>
      <c r="AH9" s="265">
        <v>0</v>
      </c>
      <c r="AI9" s="265">
        <v>0</v>
      </c>
      <c r="AJ9" s="265">
        <v>0</v>
      </c>
      <c r="AK9" s="265">
        <v>0</v>
      </c>
      <c r="AL9" s="265">
        <v>0</v>
      </c>
      <c r="AM9" s="265">
        <v>0</v>
      </c>
      <c r="AN9" s="265">
        <v>0</v>
      </c>
      <c r="AO9" s="265">
        <v>0</v>
      </c>
      <c r="AP9" s="265">
        <v>0</v>
      </c>
      <c r="AQ9" s="265">
        <v>0</v>
      </c>
      <c r="AR9" s="423">
        <v>0</v>
      </c>
      <c r="AS9" s="487">
        <v>0</v>
      </c>
      <c r="AT9" s="488">
        <v>0</v>
      </c>
      <c r="AU9" s="883"/>
    </row>
    <row r="10" spans="1:47" ht="28.5" customHeight="1">
      <c r="A10" s="473">
        <v>3</v>
      </c>
      <c r="B10" s="470" t="s">
        <v>181</v>
      </c>
      <c r="C10" s="889"/>
      <c r="D10" s="892"/>
      <c r="E10" s="467">
        <v>959</v>
      </c>
      <c r="F10" s="533">
        <v>1.3148</v>
      </c>
      <c r="G10" s="478">
        <f>Q10+U10+W10</f>
        <v>351</v>
      </c>
      <c r="H10" s="475">
        <f>R10+V10+X10</f>
        <v>4.59984</v>
      </c>
      <c r="I10" s="424"/>
      <c r="J10" s="265"/>
      <c r="K10" s="265"/>
      <c r="L10" s="265"/>
      <c r="M10" s="265"/>
      <c r="N10" s="265"/>
      <c r="O10" s="265"/>
      <c r="P10" s="265"/>
      <c r="Q10" s="420">
        <v>20</v>
      </c>
      <c r="R10" s="263">
        <v>0.1532</v>
      </c>
      <c r="S10" s="265"/>
      <c r="T10" s="265"/>
      <c r="U10" s="419">
        <v>91</v>
      </c>
      <c r="V10" s="421">
        <v>0.82264</v>
      </c>
      <c r="W10" s="419">
        <v>240</v>
      </c>
      <c r="X10" s="263">
        <v>3.624</v>
      </c>
      <c r="Y10" s="265"/>
      <c r="Z10" s="423"/>
      <c r="AA10" s="425">
        <f>AG10+AI10+AM10</f>
        <v>398</v>
      </c>
      <c r="AB10" s="427">
        <f>AH10+AJ10+AN10</f>
        <v>2.15318</v>
      </c>
      <c r="AC10" s="424"/>
      <c r="AD10" s="265"/>
      <c r="AE10" s="265"/>
      <c r="AF10" s="408"/>
      <c r="AG10" s="419">
        <v>72</v>
      </c>
      <c r="AH10" s="422">
        <v>0.2448</v>
      </c>
      <c r="AI10" s="419">
        <v>192</v>
      </c>
      <c r="AJ10" s="263">
        <v>1.03872</v>
      </c>
      <c r="AK10" s="265"/>
      <c r="AL10" s="265"/>
      <c r="AM10" s="419">
        <v>134</v>
      </c>
      <c r="AN10" s="422">
        <v>0.86966</v>
      </c>
      <c r="AO10" s="265"/>
      <c r="AP10" s="265"/>
      <c r="AQ10" s="265"/>
      <c r="AR10" s="483"/>
      <c r="AS10" s="489"/>
      <c r="AT10" s="490">
        <v>6.50088</v>
      </c>
      <c r="AU10" s="883"/>
    </row>
    <row r="11" spans="1:47" ht="28.5" customHeight="1" thickBot="1">
      <c r="A11" s="473">
        <v>4</v>
      </c>
      <c r="B11" s="470" t="s">
        <v>182</v>
      </c>
      <c r="C11" s="889"/>
      <c r="D11" s="892"/>
      <c r="E11" s="468">
        <v>0</v>
      </c>
      <c r="F11" s="431">
        <v>0</v>
      </c>
      <c r="G11" s="478">
        <f>Q11+U11+W11</f>
        <v>303</v>
      </c>
      <c r="H11" s="475">
        <f>R11+V11+X11</f>
        <v>3.8750400000000003</v>
      </c>
      <c r="I11" s="432"/>
      <c r="J11" s="433"/>
      <c r="K11" s="433"/>
      <c r="L11" s="433"/>
      <c r="M11" s="433"/>
      <c r="N11" s="433"/>
      <c r="O11" s="433"/>
      <c r="P11" s="433"/>
      <c r="Q11" s="434">
        <v>20</v>
      </c>
      <c r="R11" s="435">
        <v>0.1532</v>
      </c>
      <c r="S11" s="433"/>
      <c r="T11" s="433"/>
      <c r="U11" s="430">
        <v>91</v>
      </c>
      <c r="V11" s="436">
        <v>0.82264</v>
      </c>
      <c r="W11" s="430">
        <v>192</v>
      </c>
      <c r="X11" s="481">
        <v>2.8992</v>
      </c>
      <c r="Y11" s="433"/>
      <c r="Z11" s="431"/>
      <c r="AA11" s="437">
        <f>AG11+AI11+AM11</f>
        <v>390</v>
      </c>
      <c r="AB11" s="438">
        <f>AH11+AJ11+AN11</f>
        <v>2.1099</v>
      </c>
      <c r="AC11" s="432"/>
      <c r="AD11" s="433"/>
      <c r="AE11" s="433"/>
      <c r="AF11" s="439"/>
      <c r="AG11" s="430">
        <v>72</v>
      </c>
      <c r="AH11" s="440">
        <v>0.2448</v>
      </c>
      <c r="AI11" s="430">
        <v>184</v>
      </c>
      <c r="AJ11" s="436">
        <v>0.99544</v>
      </c>
      <c r="AK11" s="433"/>
      <c r="AL11" s="433"/>
      <c r="AM11" s="430">
        <v>134</v>
      </c>
      <c r="AN11" s="440">
        <v>0.86966</v>
      </c>
      <c r="AO11" s="433"/>
      <c r="AP11" s="433"/>
      <c r="AQ11" s="433"/>
      <c r="AR11" s="484"/>
      <c r="AS11" s="491">
        <v>0</v>
      </c>
      <c r="AT11" s="492">
        <v>0</v>
      </c>
      <c r="AU11" s="883"/>
    </row>
    <row r="12" spans="1:47" ht="28.5" customHeight="1" thickBot="1">
      <c r="A12" s="474">
        <v>5</v>
      </c>
      <c r="B12" s="471" t="s">
        <v>183</v>
      </c>
      <c r="C12" s="890"/>
      <c r="D12" s="893"/>
      <c r="E12" s="441">
        <v>959</v>
      </c>
      <c r="F12" s="534">
        <v>1.3148</v>
      </c>
      <c r="G12" s="441">
        <f>G10-G11</f>
        <v>48</v>
      </c>
      <c r="H12" s="479">
        <f>H10-H11</f>
        <v>0.7248000000000001</v>
      </c>
      <c r="I12" s="443"/>
      <c r="J12" s="444"/>
      <c r="K12" s="444"/>
      <c r="L12" s="444"/>
      <c r="M12" s="444"/>
      <c r="N12" s="444"/>
      <c r="O12" s="444"/>
      <c r="P12" s="444"/>
      <c r="Q12" s="444">
        <f>Q10-Q11</f>
        <v>0</v>
      </c>
      <c r="R12" s="445">
        <f aca="true" t="shared" si="0" ref="R12:AT12">R10-R11</f>
        <v>0</v>
      </c>
      <c r="S12" s="444">
        <f t="shared" si="0"/>
        <v>0</v>
      </c>
      <c r="T12" s="444">
        <f t="shared" si="0"/>
        <v>0</v>
      </c>
      <c r="U12" s="444">
        <f t="shared" si="0"/>
        <v>0</v>
      </c>
      <c r="V12" s="445">
        <f t="shared" si="0"/>
        <v>0</v>
      </c>
      <c r="W12" s="446">
        <f t="shared" si="0"/>
        <v>48</v>
      </c>
      <c r="X12" s="480">
        <f t="shared" si="0"/>
        <v>0.7248000000000001</v>
      </c>
      <c r="Y12" s="444">
        <f t="shared" si="0"/>
        <v>0</v>
      </c>
      <c r="Z12" s="447">
        <f t="shared" si="0"/>
        <v>0</v>
      </c>
      <c r="AA12" s="441">
        <f t="shared" si="0"/>
        <v>8</v>
      </c>
      <c r="AB12" s="448">
        <f t="shared" si="0"/>
        <v>0.04327999999999976</v>
      </c>
      <c r="AC12" s="443">
        <f t="shared" si="0"/>
        <v>0</v>
      </c>
      <c r="AD12" s="444">
        <f t="shared" si="0"/>
        <v>0</v>
      </c>
      <c r="AE12" s="444">
        <f t="shared" si="0"/>
        <v>0</v>
      </c>
      <c r="AF12" s="444">
        <f t="shared" si="0"/>
        <v>0</v>
      </c>
      <c r="AG12" s="444">
        <f t="shared" si="0"/>
        <v>0</v>
      </c>
      <c r="AH12" s="444">
        <f t="shared" si="0"/>
        <v>0</v>
      </c>
      <c r="AI12" s="444">
        <f t="shared" si="0"/>
        <v>8</v>
      </c>
      <c r="AJ12" s="444">
        <f t="shared" si="0"/>
        <v>0.043280000000000096</v>
      </c>
      <c r="AK12" s="444">
        <f t="shared" si="0"/>
        <v>0</v>
      </c>
      <c r="AL12" s="444">
        <f t="shared" si="0"/>
        <v>0</v>
      </c>
      <c r="AM12" s="444">
        <f t="shared" si="0"/>
        <v>0</v>
      </c>
      <c r="AN12" s="444">
        <f t="shared" si="0"/>
        <v>0</v>
      </c>
      <c r="AO12" s="444">
        <f t="shared" si="0"/>
        <v>0</v>
      </c>
      <c r="AP12" s="444">
        <f t="shared" si="0"/>
        <v>0</v>
      </c>
      <c r="AQ12" s="444">
        <f t="shared" si="0"/>
        <v>0</v>
      </c>
      <c r="AR12" s="447">
        <f t="shared" si="0"/>
        <v>0</v>
      </c>
      <c r="AS12" s="442">
        <f t="shared" si="0"/>
        <v>0</v>
      </c>
      <c r="AT12" s="448">
        <f t="shared" si="0"/>
        <v>6.50088</v>
      </c>
      <c r="AU12" s="884"/>
    </row>
    <row r="13" spans="1:47" ht="38.25" customHeight="1" hidden="1">
      <c r="A13" s="404">
        <v>4</v>
      </c>
      <c r="B13" s="405" t="s">
        <v>184</v>
      </c>
      <c r="C13" s="406"/>
      <c r="D13" s="267">
        <f>SUM(D14:D48)</f>
        <v>494.67799999999994</v>
      </c>
      <c r="E13" s="267"/>
      <c r="F13" s="268">
        <f>F14+F19+F20+F21+F26+F31+F36+F41+F42+F47+F48</f>
        <v>13152</v>
      </c>
      <c r="G13" s="268"/>
      <c r="H13" s="268">
        <f>H14+H19+H20+H21+H26+H31+H36+H41+H42+H47+H48</f>
        <v>946</v>
      </c>
      <c r="I13" s="268"/>
      <c r="J13" s="268">
        <f aca="true" t="shared" si="1" ref="J13:AR13">J14+J19+J20+J21+J26+J31+J36+J41+J42+J47+J48</f>
        <v>0</v>
      </c>
      <c r="K13" s="268"/>
      <c r="L13" s="268">
        <f t="shared" si="1"/>
        <v>0</v>
      </c>
      <c r="M13" s="268"/>
      <c r="N13" s="268">
        <f t="shared" si="1"/>
        <v>0</v>
      </c>
      <c r="O13" s="268"/>
      <c r="P13" s="268">
        <f t="shared" si="1"/>
        <v>0</v>
      </c>
      <c r="Q13" s="268"/>
      <c r="R13" s="268">
        <f t="shared" si="1"/>
        <v>501</v>
      </c>
      <c r="S13" s="268"/>
      <c r="T13" s="268">
        <f t="shared" si="1"/>
        <v>0</v>
      </c>
      <c r="U13" s="268"/>
      <c r="V13" s="268">
        <f t="shared" si="1"/>
        <v>426</v>
      </c>
      <c r="W13" s="268"/>
      <c r="X13" s="268">
        <f t="shared" si="1"/>
        <v>19</v>
      </c>
      <c r="Y13" s="268"/>
      <c r="Z13" s="268">
        <f t="shared" si="1"/>
        <v>0</v>
      </c>
      <c r="AA13" s="268"/>
      <c r="AB13" s="268">
        <f>AB14+AB19+AB20+AB21+AB26+AB31+AB36+AB41+AB42+AB47+AB48</f>
        <v>2685</v>
      </c>
      <c r="AC13" s="268"/>
      <c r="AD13" s="268">
        <f t="shared" si="1"/>
        <v>0</v>
      </c>
      <c r="AE13" s="268"/>
      <c r="AF13" s="268">
        <f t="shared" si="1"/>
        <v>353</v>
      </c>
      <c r="AG13" s="268"/>
      <c r="AH13" s="268">
        <f t="shared" si="1"/>
        <v>104</v>
      </c>
      <c r="AI13" s="268"/>
      <c r="AJ13" s="268">
        <f t="shared" si="1"/>
        <v>1771</v>
      </c>
      <c r="AK13" s="268"/>
      <c r="AL13" s="268">
        <f t="shared" si="1"/>
        <v>0</v>
      </c>
      <c r="AM13" s="268"/>
      <c r="AN13" s="268">
        <f t="shared" si="1"/>
        <v>379</v>
      </c>
      <c r="AO13" s="268"/>
      <c r="AP13" s="268">
        <f t="shared" si="1"/>
        <v>78</v>
      </c>
      <c r="AQ13" s="268"/>
      <c r="AR13" s="268">
        <f t="shared" si="1"/>
        <v>0</v>
      </c>
      <c r="AS13" s="268"/>
      <c r="AT13" s="268"/>
      <c r="AU13" s="407"/>
    </row>
    <row r="14" spans="1:47" ht="23.25" customHeight="1" hidden="1">
      <c r="A14" s="885"/>
      <c r="B14" s="270" t="s">
        <v>185</v>
      </c>
      <c r="C14" s="874" t="s">
        <v>186</v>
      </c>
      <c r="D14" s="877">
        <v>58.14</v>
      </c>
      <c r="E14" s="271"/>
      <c r="F14" s="268">
        <v>3789</v>
      </c>
      <c r="G14" s="268"/>
      <c r="H14" s="268">
        <f>SUM(J14:Z14)</f>
        <v>54</v>
      </c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>
        <v>54</v>
      </c>
      <c r="W14" s="268"/>
      <c r="X14" s="268"/>
      <c r="Y14" s="268"/>
      <c r="Z14" s="268"/>
      <c r="AA14" s="268"/>
      <c r="AB14" s="268">
        <f>SUM(AD14:AR14)</f>
        <v>156</v>
      </c>
      <c r="AC14" s="268"/>
      <c r="AD14" s="268"/>
      <c r="AE14" s="268"/>
      <c r="AF14" s="268"/>
      <c r="AG14" s="268"/>
      <c r="AH14" s="272">
        <v>52</v>
      </c>
      <c r="AI14" s="272"/>
      <c r="AJ14" s="272"/>
      <c r="AK14" s="272"/>
      <c r="AL14" s="273"/>
      <c r="AM14" s="273"/>
      <c r="AN14" s="272">
        <v>104</v>
      </c>
      <c r="AO14" s="272"/>
      <c r="AP14" s="272"/>
      <c r="AQ14" s="272"/>
      <c r="AR14" s="274"/>
      <c r="AS14" s="274"/>
      <c r="AT14" s="274"/>
      <c r="AU14" s="880" t="s">
        <v>187</v>
      </c>
    </row>
    <row r="15" spans="1:47" ht="19.5" customHeight="1" hidden="1">
      <c r="A15" s="886"/>
      <c r="B15" s="275" t="s">
        <v>180</v>
      </c>
      <c r="C15" s="875"/>
      <c r="D15" s="878"/>
      <c r="E15" s="271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7"/>
      <c r="AI15" s="277"/>
      <c r="AJ15" s="277"/>
      <c r="AK15" s="277"/>
      <c r="AL15" s="278"/>
      <c r="AM15" s="278"/>
      <c r="AN15" s="277"/>
      <c r="AO15" s="277"/>
      <c r="AP15" s="277"/>
      <c r="AQ15" s="277"/>
      <c r="AR15" s="279"/>
      <c r="AS15" s="279"/>
      <c r="AT15" s="279"/>
      <c r="AU15" s="880"/>
    </row>
    <row r="16" spans="1:47" ht="20.25" customHeight="1" hidden="1">
      <c r="A16" s="886"/>
      <c r="B16" s="275" t="s">
        <v>181</v>
      </c>
      <c r="C16" s="875"/>
      <c r="D16" s="878"/>
      <c r="E16" s="271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7"/>
      <c r="AI16" s="277"/>
      <c r="AJ16" s="277"/>
      <c r="AK16" s="277"/>
      <c r="AL16" s="278"/>
      <c r="AM16" s="278"/>
      <c r="AN16" s="277"/>
      <c r="AO16" s="277"/>
      <c r="AP16" s="277"/>
      <c r="AQ16" s="277"/>
      <c r="AR16" s="279"/>
      <c r="AS16" s="279"/>
      <c r="AT16" s="279"/>
      <c r="AU16" s="880"/>
    </row>
    <row r="17" spans="1:47" ht="24" customHeight="1" hidden="1">
      <c r="A17" s="886"/>
      <c r="B17" s="275" t="s">
        <v>182</v>
      </c>
      <c r="C17" s="875"/>
      <c r="D17" s="878"/>
      <c r="E17" s="271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7"/>
      <c r="AI17" s="277"/>
      <c r="AJ17" s="277"/>
      <c r="AK17" s="277"/>
      <c r="AL17" s="278"/>
      <c r="AM17" s="278"/>
      <c r="AN17" s="277"/>
      <c r="AO17" s="277"/>
      <c r="AP17" s="277"/>
      <c r="AQ17" s="277"/>
      <c r="AR17" s="279"/>
      <c r="AS17" s="279"/>
      <c r="AT17" s="279"/>
      <c r="AU17" s="880"/>
    </row>
    <row r="18" spans="1:47" ht="24.75" customHeight="1" hidden="1">
      <c r="A18" s="887"/>
      <c r="B18" s="275" t="s">
        <v>183</v>
      </c>
      <c r="C18" s="876"/>
      <c r="D18" s="879"/>
      <c r="E18" s="280"/>
      <c r="F18" s="276">
        <f>F14-F15-F17</f>
        <v>3789</v>
      </c>
      <c r="G18" s="276"/>
      <c r="H18" s="276">
        <f>H14-H15-H17</f>
        <v>54</v>
      </c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>
        <f>V14-V15-V17</f>
        <v>54</v>
      </c>
      <c r="W18" s="276"/>
      <c r="X18" s="276"/>
      <c r="Y18" s="276"/>
      <c r="Z18" s="276"/>
      <c r="AA18" s="276"/>
      <c r="AB18" s="276">
        <f>AB14-AB15-AB17</f>
        <v>156</v>
      </c>
      <c r="AC18" s="276"/>
      <c r="AD18" s="276"/>
      <c r="AE18" s="276"/>
      <c r="AF18" s="276"/>
      <c r="AG18" s="276"/>
      <c r="AH18" s="276">
        <f>AH14-AH15-AH17</f>
        <v>52</v>
      </c>
      <c r="AI18" s="276"/>
      <c r="AJ18" s="276"/>
      <c r="AK18" s="276"/>
      <c r="AL18" s="276"/>
      <c r="AM18" s="276"/>
      <c r="AN18" s="276">
        <f>AN14-AN15-AN17</f>
        <v>104</v>
      </c>
      <c r="AO18" s="276"/>
      <c r="AP18" s="276"/>
      <c r="AQ18" s="276"/>
      <c r="AR18" s="276"/>
      <c r="AS18" s="276"/>
      <c r="AT18" s="281"/>
      <c r="AU18" s="880"/>
    </row>
    <row r="19" spans="1:47" ht="29.25" customHeight="1" hidden="1">
      <c r="A19" s="282"/>
      <c r="B19" s="270" t="s">
        <v>188</v>
      </c>
      <c r="C19" s="874" t="s">
        <v>189</v>
      </c>
      <c r="D19" s="283">
        <f>7.7+57.42</f>
        <v>65.12</v>
      </c>
      <c r="E19" s="280"/>
      <c r="F19" s="268">
        <f>553</f>
        <v>553</v>
      </c>
      <c r="G19" s="268"/>
      <c r="H19" s="268">
        <f>SUM(J19:X19)</f>
        <v>260</v>
      </c>
      <c r="I19" s="268"/>
      <c r="J19" s="268"/>
      <c r="K19" s="268"/>
      <c r="L19" s="268"/>
      <c r="M19" s="268"/>
      <c r="N19" s="268"/>
      <c r="O19" s="268"/>
      <c r="P19" s="268"/>
      <c r="Q19" s="268"/>
      <c r="R19" s="268">
        <f>40+190</f>
        <v>230</v>
      </c>
      <c r="S19" s="268"/>
      <c r="T19" s="268"/>
      <c r="U19" s="268"/>
      <c r="V19" s="268">
        <v>30</v>
      </c>
      <c r="W19" s="268"/>
      <c r="X19" s="268"/>
      <c r="Y19" s="268"/>
      <c r="Z19" s="268"/>
      <c r="AA19" s="268"/>
      <c r="AB19" s="268">
        <f>SUM(AD19:AR19)</f>
        <v>1379</v>
      </c>
      <c r="AC19" s="268"/>
      <c r="AD19" s="268"/>
      <c r="AE19" s="268"/>
      <c r="AF19" s="268"/>
      <c r="AG19" s="268"/>
      <c r="AH19" s="274"/>
      <c r="AI19" s="274"/>
      <c r="AJ19" s="272">
        <v>1379</v>
      </c>
      <c r="AK19" s="272"/>
      <c r="AL19" s="284"/>
      <c r="AM19" s="284"/>
      <c r="AN19" s="274"/>
      <c r="AO19" s="274"/>
      <c r="AP19" s="274"/>
      <c r="AQ19" s="274"/>
      <c r="AR19" s="274"/>
      <c r="AS19" s="274"/>
      <c r="AT19" s="274"/>
      <c r="AU19" s="285"/>
    </row>
    <row r="20" spans="1:47" ht="27" customHeight="1" hidden="1">
      <c r="A20" s="286"/>
      <c r="B20" s="270" t="s">
        <v>190</v>
      </c>
      <c r="C20" s="876"/>
      <c r="D20" s="283">
        <f>310.5-261.5</f>
        <v>49</v>
      </c>
      <c r="E20" s="280"/>
      <c r="F20" s="268">
        <f>242+321+37+2+30+4+45+2+33+4+45+6</f>
        <v>771</v>
      </c>
      <c r="G20" s="268"/>
      <c r="H20" s="268">
        <f>SUM(J20:X20)</f>
        <v>120</v>
      </c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>
        <v>120</v>
      </c>
      <c r="W20" s="268"/>
      <c r="X20" s="268"/>
      <c r="Y20" s="268"/>
      <c r="Z20" s="268"/>
      <c r="AA20" s="268"/>
      <c r="AB20" s="268">
        <f>SUM(AD20:AR20)</f>
        <v>182</v>
      </c>
      <c r="AC20" s="268"/>
      <c r="AD20" s="268"/>
      <c r="AE20" s="268"/>
      <c r="AF20" s="268"/>
      <c r="AG20" s="268"/>
      <c r="AH20" s="274"/>
      <c r="AI20" s="274"/>
      <c r="AJ20" s="272">
        <v>182</v>
      </c>
      <c r="AK20" s="272"/>
      <c r="AL20" s="272"/>
      <c r="AM20" s="272"/>
      <c r="AN20" s="272"/>
      <c r="AO20" s="272"/>
      <c r="AP20" s="272"/>
      <c r="AQ20" s="272"/>
      <c r="AR20" s="274"/>
      <c r="AS20" s="274"/>
      <c r="AT20" s="274"/>
      <c r="AU20" s="285"/>
    </row>
    <row r="21" spans="1:47" ht="27.75" customHeight="1" hidden="1">
      <c r="A21" s="872"/>
      <c r="B21" s="270" t="s">
        <v>191</v>
      </c>
      <c r="C21" s="874" t="s">
        <v>192</v>
      </c>
      <c r="D21" s="877">
        <v>48.013</v>
      </c>
      <c r="E21" s="271"/>
      <c r="F21" s="268">
        <v>1036</v>
      </c>
      <c r="G21" s="268"/>
      <c r="H21" s="268">
        <f>SUM(J21:Z21)</f>
        <v>76</v>
      </c>
      <c r="I21" s="268"/>
      <c r="J21" s="268"/>
      <c r="K21" s="268"/>
      <c r="L21" s="268"/>
      <c r="M21" s="268"/>
      <c r="N21" s="268"/>
      <c r="O21" s="268"/>
      <c r="P21" s="268"/>
      <c r="Q21" s="268"/>
      <c r="R21" s="268">
        <v>76</v>
      </c>
      <c r="S21" s="268"/>
      <c r="T21" s="268"/>
      <c r="U21" s="268"/>
      <c r="V21" s="268"/>
      <c r="W21" s="268"/>
      <c r="X21" s="268"/>
      <c r="Y21" s="268"/>
      <c r="Z21" s="268"/>
      <c r="AA21" s="268"/>
      <c r="AB21" s="268">
        <f>SUM(AD21:AR21)</f>
        <v>156</v>
      </c>
      <c r="AC21" s="268"/>
      <c r="AD21" s="268"/>
      <c r="AE21" s="268"/>
      <c r="AF21" s="268"/>
      <c r="AG21" s="268"/>
      <c r="AH21" s="274"/>
      <c r="AI21" s="274"/>
      <c r="AJ21" s="272">
        <v>156</v>
      </c>
      <c r="AK21" s="272"/>
      <c r="AL21" s="272"/>
      <c r="AM21" s="272"/>
      <c r="AN21" s="272"/>
      <c r="AO21" s="272"/>
      <c r="AP21" s="272"/>
      <c r="AQ21" s="272"/>
      <c r="AR21" s="274"/>
      <c r="AS21" s="274"/>
      <c r="AT21" s="274"/>
      <c r="AU21" s="880" t="s">
        <v>193</v>
      </c>
    </row>
    <row r="22" spans="1:47" ht="18.75" customHeight="1" hidden="1">
      <c r="A22" s="873"/>
      <c r="B22" s="275" t="s">
        <v>180</v>
      </c>
      <c r="C22" s="875"/>
      <c r="D22" s="878"/>
      <c r="E22" s="271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87"/>
      <c r="AI22" s="287"/>
      <c r="AJ22" s="277"/>
      <c r="AK22" s="277"/>
      <c r="AL22" s="277"/>
      <c r="AM22" s="277"/>
      <c r="AN22" s="277"/>
      <c r="AO22" s="277"/>
      <c r="AP22" s="277"/>
      <c r="AQ22" s="277"/>
      <c r="AR22" s="279"/>
      <c r="AS22" s="279"/>
      <c r="AT22" s="279"/>
      <c r="AU22" s="880"/>
    </row>
    <row r="23" spans="1:47" ht="18.75" customHeight="1" hidden="1">
      <c r="A23" s="873"/>
      <c r="B23" s="275" t="s">
        <v>181</v>
      </c>
      <c r="C23" s="875"/>
      <c r="D23" s="878"/>
      <c r="E23" s="271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87"/>
      <c r="AI23" s="287"/>
      <c r="AJ23" s="277"/>
      <c r="AK23" s="277"/>
      <c r="AL23" s="277"/>
      <c r="AM23" s="277"/>
      <c r="AN23" s="277"/>
      <c r="AO23" s="277"/>
      <c r="AP23" s="277"/>
      <c r="AQ23" s="277"/>
      <c r="AR23" s="279"/>
      <c r="AS23" s="279"/>
      <c r="AT23" s="279"/>
      <c r="AU23" s="880"/>
    </row>
    <row r="24" spans="1:47" ht="19.5" customHeight="1" hidden="1">
      <c r="A24" s="873"/>
      <c r="B24" s="275" t="s">
        <v>182</v>
      </c>
      <c r="C24" s="875"/>
      <c r="D24" s="878"/>
      <c r="E24" s="271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87"/>
      <c r="AI24" s="287"/>
      <c r="AJ24" s="277"/>
      <c r="AK24" s="277"/>
      <c r="AL24" s="277"/>
      <c r="AM24" s="277"/>
      <c r="AN24" s="277"/>
      <c r="AO24" s="277"/>
      <c r="AP24" s="277"/>
      <c r="AQ24" s="277"/>
      <c r="AR24" s="279"/>
      <c r="AS24" s="279"/>
      <c r="AT24" s="279"/>
      <c r="AU24" s="880"/>
    </row>
    <row r="25" spans="1:47" ht="18.75" customHeight="1" hidden="1">
      <c r="A25" s="873"/>
      <c r="B25" s="275" t="s">
        <v>183</v>
      </c>
      <c r="C25" s="876"/>
      <c r="D25" s="879"/>
      <c r="E25" s="280"/>
      <c r="F25" s="276">
        <f>F21-F22-F24</f>
        <v>1036</v>
      </c>
      <c r="G25" s="276"/>
      <c r="H25" s="276">
        <f>H21-H22-H24</f>
        <v>76</v>
      </c>
      <c r="I25" s="276"/>
      <c r="J25" s="276"/>
      <c r="K25" s="276"/>
      <c r="L25" s="276"/>
      <c r="M25" s="276"/>
      <c r="N25" s="276"/>
      <c r="O25" s="276"/>
      <c r="P25" s="276"/>
      <c r="Q25" s="276"/>
      <c r="R25" s="276">
        <f>R21-R22-R24</f>
        <v>76</v>
      </c>
      <c r="S25" s="276"/>
      <c r="T25" s="276"/>
      <c r="U25" s="276"/>
      <c r="V25" s="276"/>
      <c r="W25" s="276"/>
      <c r="X25" s="276"/>
      <c r="Y25" s="276"/>
      <c r="Z25" s="276"/>
      <c r="AA25" s="276"/>
      <c r="AB25" s="276">
        <f>AB21-AB22-AB24</f>
        <v>156</v>
      </c>
      <c r="AC25" s="276"/>
      <c r="AD25" s="276"/>
      <c r="AE25" s="276"/>
      <c r="AF25" s="276"/>
      <c r="AG25" s="276"/>
      <c r="AH25" s="276"/>
      <c r="AI25" s="276"/>
      <c r="AJ25" s="276">
        <f>AJ21-AJ22-AJ24</f>
        <v>156</v>
      </c>
      <c r="AK25" s="276"/>
      <c r="AL25" s="276"/>
      <c r="AM25" s="276"/>
      <c r="AN25" s="276"/>
      <c r="AO25" s="276"/>
      <c r="AP25" s="276"/>
      <c r="AQ25" s="276"/>
      <c r="AR25" s="276"/>
      <c r="AS25" s="276"/>
      <c r="AT25" s="281"/>
      <c r="AU25" s="880"/>
    </row>
    <row r="26" spans="1:47" ht="20.25" customHeight="1" hidden="1">
      <c r="A26" s="872"/>
      <c r="B26" s="270" t="s">
        <v>194</v>
      </c>
      <c r="C26" s="874" t="s">
        <v>195</v>
      </c>
      <c r="D26" s="877">
        <v>30.8</v>
      </c>
      <c r="E26" s="271"/>
      <c r="F26" s="268">
        <v>1407</v>
      </c>
      <c r="G26" s="268"/>
      <c r="H26" s="268">
        <f>SUM(J26:Z26)</f>
        <v>59</v>
      </c>
      <c r="I26" s="268"/>
      <c r="J26" s="268"/>
      <c r="K26" s="268"/>
      <c r="L26" s="268"/>
      <c r="M26" s="268"/>
      <c r="N26" s="268"/>
      <c r="O26" s="268"/>
      <c r="P26" s="268"/>
      <c r="Q26" s="268"/>
      <c r="R26" s="268">
        <v>59</v>
      </c>
      <c r="S26" s="268"/>
      <c r="T26" s="268"/>
      <c r="U26" s="268"/>
      <c r="V26" s="268"/>
      <c r="W26" s="268"/>
      <c r="X26" s="268"/>
      <c r="Y26" s="268"/>
      <c r="Z26" s="268"/>
      <c r="AA26" s="268"/>
      <c r="AB26" s="268">
        <f>SUM(AD26:AR26)</f>
        <v>159</v>
      </c>
      <c r="AC26" s="268"/>
      <c r="AD26" s="268"/>
      <c r="AE26" s="268"/>
      <c r="AF26" s="268"/>
      <c r="AG26" s="268"/>
      <c r="AH26" s="274"/>
      <c r="AI26" s="274"/>
      <c r="AJ26" s="272">
        <v>54</v>
      </c>
      <c r="AK26" s="272"/>
      <c r="AL26" s="272"/>
      <c r="AM26" s="272"/>
      <c r="AN26" s="272">
        <v>27</v>
      </c>
      <c r="AO26" s="272"/>
      <c r="AP26" s="272">
        <v>78</v>
      </c>
      <c r="AQ26" s="272"/>
      <c r="AR26" s="274"/>
      <c r="AS26" s="274"/>
      <c r="AT26" s="274"/>
      <c r="AU26" s="880" t="s">
        <v>196</v>
      </c>
    </row>
    <row r="27" spans="1:47" ht="20.25" customHeight="1" hidden="1">
      <c r="A27" s="873"/>
      <c r="B27" s="275" t="s">
        <v>180</v>
      </c>
      <c r="C27" s="875"/>
      <c r="D27" s="878"/>
      <c r="E27" s="271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87"/>
      <c r="AI27" s="287"/>
      <c r="AJ27" s="277"/>
      <c r="AK27" s="277"/>
      <c r="AL27" s="277"/>
      <c r="AM27" s="277"/>
      <c r="AN27" s="277"/>
      <c r="AO27" s="277"/>
      <c r="AP27" s="277"/>
      <c r="AQ27" s="277"/>
      <c r="AR27" s="279"/>
      <c r="AS27" s="279"/>
      <c r="AT27" s="279"/>
      <c r="AU27" s="880"/>
    </row>
    <row r="28" spans="1:47" ht="20.25" customHeight="1" hidden="1">
      <c r="A28" s="873"/>
      <c r="B28" s="275" t="s">
        <v>181</v>
      </c>
      <c r="C28" s="875"/>
      <c r="D28" s="878"/>
      <c r="E28" s="271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87"/>
      <c r="AI28" s="287"/>
      <c r="AJ28" s="277"/>
      <c r="AK28" s="277"/>
      <c r="AL28" s="277"/>
      <c r="AM28" s="277"/>
      <c r="AN28" s="277"/>
      <c r="AO28" s="277"/>
      <c r="AP28" s="277"/>
      <c r="AQ28" s="277"/>
      <c r="AR28" s="279"/>
      <c r="AS28" s="279"/>
      <c r="AT28" s="279"/>
      <c r="AU28" s="880"/>
    </row>
    <row r="29" spans="1:47" ht="20.25" customHeight="1" hidden="1">
      <c r="A29" s="873"/>
      <c r="B29" s="275" t="s">
        <v>182</v>
      </c>
      <c r="C29" s="875"/>
      <c r="D29" s="878"/>
      <c r="E29" s="271"/>
      <c r="F29" s="276"/>
      <c r="G29" s="276"/>
      <c r="H29" s="288"/>
      <c r="I29" s="288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87"/>
      <c r="AI29" s="287"/>
      <c r="AJ29" s="277"/>
      <c r="AK29" s="277"/>
      <c r="AL29" s="277"/>
      <c r="AM29" s="277"/>
      <c r="AN29" s="277"/>
      <c r="AO29" s="277"/>
      <c r="AP29" s="277"/>
      <c r="AQ29" s="277"/>
      <c r="AR29" s="279"/>
      <c r="AS29" s="279"/>
      <c r="AT29" s="279"/>
      <c r="AU29" s="880"/>
    </row>
    <row r="30" spans="1:47" ht="20.25" customHeight="1" hidden="1">
      <c r="A30" s="881"/>
      <c r="B30" s="275" t="s">
        <v>183</v>
      </c>
      <c r="C30" s="876"/>
      <c r="D30" s="879"/>
      <c r="E30" s="280"/>
      <c r="F30" s="276">
        <f>F26-F27-F29</f>
        <v>1407</v>
      </c>
      <c r="G30" s="276"/>
      <c r="H30" s="276">
        <f>H26-H27-H29</f>
        <v>59</v>
      </c>
      <c r="I30" s="276"/>
      <c r="J30" s="276"/>
      <c r="K30" s="276"/>
      <c r="L30" s="276"/>
      <c r="M30" s="276"/>
      <c r="N30" s="276"/>
      <c r="O30" s="276"/>
      <c r="P30" s="276"/>
      <c r="Q30" s="276"/>
      <c r="R30" s="289">
        <f>R26-R27-R29</f>
        <v>59</v>
      </c>
      <c r="S30" s="289"/>
      <c r="T30" s="276"/>
      <c r="U30" s="276"/>
      <c r="V30" s="276"/>
      <c r="W30" s="276"/>
      <c r="X30" s="276"/>
      <c r="Y30" s="276"/>
      <c r="Z30" s="276"/>
      <c r="AA30" s="276"/>
      <c r="AB30" s="276">
        <f>AB26-AB27-AB29</f>
        <v>159</v>
      </c>
      <c r="AC30" s="276"/>
      <c r="AD30" s="276"/>
      <c r="AE30" s="276"/>
      <c r="AF30" s="276"/>
      <c r="AG30" s="276"/>
      <c r="AH30" s="276"/>
      <c r="AI30" s="276"/>
      <c r="AJ30" s="276">
        <f>AJ26-AJ27-AJ29</f>
        <v>54</v>
      </c>
      <c r="AK30" s="276"/>
      <c r="AL30" s="276"/>
      <c r="AM30" s="276"/>
      <c r="AN30" s="276">
        <f>AN26-AN27-AN29</f>
        <v>27</v>
      </c>
      <c r="AO30" s="276"/>
      <c r="AP30" s="276">
        <f>AP26-AP27-AP29</f>
        <v>78</v>
      </c>
      <c r="AQ30" s="276"/>
      <c r="AR30" s="276"/>
      <c r="AS30" s="276"/>
      <c r="AT30" s="281"/>
      <c r="AU30" s="880"/>
    </row>
    <row r="31" spans="1:47" ht="21.75" customHeight="1" hidden="1">
      <c r="A31" s="901"/>
      <c r="B31" s="290" t="s">
        <v>197</v>
      </c>
      <c r="C31" s="874" t="s">
        <v>198</v>
      </c>
      <c r="D31" s="877">
        <f>443-404</f>
        <v>39</v>
      </c>
      <c r="E31" s="271"/>
      <c r="F31" s="268">
        <v>1562</v>
      </c>
      <c r="G31" s="268"/>
      <c r="H31" s="268">
        <f aca="true" t="shared" si="2" ref="H31:H36">SUM(J31:Z31)</f>
        <v>39</v>
      </c>
      <c r="I31" s="268"/>
      <c r="J31" s="268"/>
      <c r="K31" s="268"/>
      <c r="L31" s="268"/>
      <c r="M31" s="268"/>
      <c r="N31" s="268"/>
      <c r="O31" s="268"/>
      <c r="P31" s="268"/>
      <c r="Q31" s="268"/>
      <c r="R31" s="268">
        <v>20</v>
      </c>
      <c r="S31" s="268"/>
      <c r="T31" s="268"/>
      <c r="U31" s="268"/>
      <c r="V31" s="268"/>
      <c r="W31" s="268"/>
      <c r="X31" s="268">
        <v>19</v>
      </c>
      <c r="Y31" s="268"/>
      <c r="Z31" s="268"/>
      <c r="AA31" s="268"/>
      <c r="AB31" s="268">
        <f>SUM(AD31:AR31)</f>
        <v>134</v>
      </c>
      <c r="AC31" s="268"/>
      <c r="AD31" s="268"/>
      <c r="AE31" s="268"/>
      <c r="AF31" s="268">
        <v>54</v>
      </c>
      <c r="AG31" s="268"/>
      <c r="AH31" s="274"/>
      <c r="AI31" s="274"/>
      <c r="AJ31" s="284"/>
      <c r="AK31" s="284"/>
      <c r="AL31" s="284"/>
      <c r="AM31" s="284"/>
      <c r="AN31" s="272">
        <v>80</v>
      </c>
      <c r="AO31" s="272"/>
      <c r="AP31" s="272"/>
      <c r="AQ31" s="272"/>
      <c r="AR31" s="274"/>
      <c r="AS31" s="274"/>
      <c r="AT31" s="274"/>
      <c r="AU31" s="880" t="s">
        <v>199</v>
      </c>
    </row>
    <row r="32" spans="1:47" ht="18.75" customHeight="1" hidden="1">
      <c r="A32" s="901"/>
      <c r="B32" s="275" t="s">
        <v>180</v>
      </c>
      <c r="C32" s="875"/>
      <c r="D32" s="878"/>
      <c r="E32" s="271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87"/>
      <c r="AI32" s="287"/>
      <c r="AJ32" s="291"/>
      <c r="AK32" s="291"/>
      <c r="AL32" s="291"/>
      <c r="AM32" s="291"/>
      <c r="AN32" s="277"/>
      <c r="AO32" s="277"/>
      <c r="AP32" s="277"/>
      <c r="AQ32" s="277"/>
      <c r="AR32" s="279"/>
      <c r="AS32" s="279"/>
      <c r="AT32" s="279"/>
      <c r="AU32" s="880"/>
    </row>
    <row r="33" spans="1:47" ht="18.75" customHeight="1" hidden="1">
      <c r="A33" s="901"/>
      <c r="B33" s="275" t="s">
        <v>181</v>
      </c>
      <c r="C33" s="875"/>
      <c r="D33" s="878"/>
      <c r="E33" s="271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87"/>
      <c r="AI33" s="287"/>
      <c r="AJ33" s="291"/>
      <c r="AK33" s="291"/>
      <c r="AL33" s="291"/>
      <c r="AM33" s="291"/>
      <c r="AN33" s="277"/>
      <c r="AO33" s="277"/>
      <c r="AP33" s="277"/>
      <c r="AQ33" s="277"/>
      <c r="AR33" s="279"/>
      <c r="AS33" s="279"/>
      <c r="AT33" s="279"/>
      <c r="AU33" s="880"/>
    </row>
    <row r="34" spans="1:47" ht="18.75" customHeight="1" hidden="1">
      <c r="A34" s="901"/>
      <c r="B34" s="275" t="s">
        <v>182</v>
      </c>
      <c r="C34" s="875"/>
      <c r="D34" s="878"/>
      <c r="E34" s="271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87"/>
      <c r="AI34" s="287"/>
      <c r="AJ34" s="291"/>
      <c r="AK34" s="291"/>
      <c r="AL34" s="291"/>
      <c r="AM34" s="291"/>
      <c r="AN34" s="277"/>
      <c r="AO34" s="277"/>
      <c r="AP34" s="277"/>
      <c r="AQ34" s="277"/>
      <c r="AR34" s="279"/>
      <c r="AS34" s="279"/>
      <c r="AT34" s="279"/>
      <c r="AU34" s="880"/>
    </row>
    <row r="35" spans="1:47" ht="19.5" customHeight="1" hidden="1">
      <c r="A35" s="901"/>
      <c r="B35" s="275" t="s">
        <v>183</v>
      </c>
      <c r="C35" s="876"/>
      <c r="D35" s="879"/>
      <c r="E35" s="280"/>
      <c r="F35" s="276">
        <f>F31-F32-F34</f>
        <v>1562</v>
      </c>
      <c r="G35" s="276"/>
      <c r="H35" s="276">
        <f t="shared" si="2"/>
        <v>39</v>
      </c>
      <c r="I35" s="276"/>
      <c r="J35" s="276"/>
      <c r="K35" s="276"/>
      <c r="L35" s="276"/>
      <c r="M35" s="276"/>
      <c r="N35" s="276"/>
      <c r="O35" s="276"/>
      <c r="P35" s="276"/>
      <c r="Q35" s="276"/>
      <c r="R35" s="276">
        <f>R31-R32-R34</f>
        <v>20</v>
      </c>
      <c r="S35" s="276"/>
      <c r="T35" s="276"/>
      <c r="U35" s="276"/>
      <c r="V35" s="276"/>
      <c r="W35" s="276"/>
      <c r="X35" s="276">
        <f>X31-X32-X34</f>
        <v>19</v>
      </c>
      <c r="Y35" s="276"/>
      <c r="Z35" s="276"/>
      <c r="AA35" s="276"/>
      <c r="AB35" s="276">
        <f>AB31-AB32-AB34</f>
        <v>134</v>
      </c>
      <c r="AC35" s="276"/>
      <c r="AD35" s="276"/>
      <c r="AE35" s="276"/>
      <c r="AF35" s="276">
        <f>AF31-AF32-AF34</f>
        <v>54</v>
      </c>
      <c r="AG35" s="276"/>
      <c r="AH35" s="276"/>
      <c r="AI35" s="276"/>
      <c r="AJ35" s="276"/>
      <c r="AK35" s="276"/>
      <c r="AL35" s="276"/>
      <c r="AM35" s="276"/>
      <c r="AN35" s="276">
        <f>AN31-AN32-AN34</f>
        <v>80</v>
      </c>
      <c r="AO35" s="276"/>
      <c r="AP35" s="276"/>
      <c r="AQ35" s="276"/>
      <c r="AR35" s="276"/>
      <c r="AS35" s="276"/>
      <c r="AT35" s="281"/>
      <c r="AU35" s="880"/>
    </row>
    <row r="36" spans="1:47" ht="22.5" customHeight="1" hidden="1">
      <c r="A36" s="902"/>
      <c r="B36" s="290" t="s">
        <v>200</v>
      </c>
      <c r="C36" s="874" t="s">
        <v>201</v>
      </c>
      <c r="D36" s="877">
        <v>40.4</v>
      </c>
      <c r="E36" s="271"/>
      <c r="F36" s="268">
        <v>654</v>
      </c>
      <c r="G36" s="268"/>
      <c r="H36" s="268">
        <f t="shared" si="2"/>
        <v>0</v>
      </c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>
        <f>SUM(AD36:AR36)</f>
        <v>81</v>
      </c>
      <c r="AC36" s="268"/>
      <c r="AD36" s="268"/>
      <c r="AE36" s="268"/>
      <c r="AF36" s="268">
        <v>81</v>
      </c>
      <c r="AG36" s="268"/>
      <c r="AH36" s="274"/>
      <c r="AI36" s="274"/>
      <c r="AJ36" s="284"/>
      <c r="AK36" s="284"/>
      <c r="AL36" s="284"/>
      <c r="AM36" s="284"/>
      <c r="AN36" s="284"/>
      <c r="AO36" s="284"/>
      <c r="AP36" s="284"/>
      <c r="AQ36" s="284"/>
      <c r="AR36" s="274"/>
      <c r="AS36" s="274"/>
      <c r="AT36" s="274"/>
      <c r="AU36" s="880" t="s">
        <v>202</v>
      </c>
    </row>
    <row r="37" spans="1:47" ht="18.75" customHeight="1" hidden="1">
      <c r="A37" s="903"/>
      <c r="B37" s="275" t="s">
        <v>180</v>
      </c>
      <c r="C37" s="875"/>
      <c r="D37" s="878"/>
      <c r="E37" s="271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87"/>
      <c r="AI37" s="287"/>
      <c r="AJ37" s="291"/>
      <c r="AK37" s="291"/>
      <c r="AL37" s="291"/>
      <c r="AM37" s="291"/>
      <c r="AN37" s="291"/>
      <c r="AO37" s="291"/>
      <c r="AP37" s="291"/>
      <c r="AQ37" s="291"/>
      <c r="AR37" s="279"/>
      <c r="AS37" s="279"/>
      <c r="AT37" s="279"/>
      <c r="AU37" s="880"/>
    </row>
    <row r="38" spans="1:47" ht="18.75" customHeight="1" hidden="1">
      <c r="A38" s="903"/>
      <c r="B38" s="275" t="s">
        <v>181</v>
      </c>
      <c r="C38" s="875"/>
      <c r="D38" s="878"/>
      <c r="E38" s="271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87"/>
      <c r="AI38" s="287"/>
      <c r="AJ38" s="291"/>
      <c r="AK38" s="291"/>
      <c r="AL38" s="291"/>
      <c r="AM38" s="291"/>
      <c r="AN38" s="291"/>
      <c r="AO38" s="291"/>
      <c r="AP38" s="291"/>
      <c r="AQ38" s="291"/>
      <c r="AR38" s="279"/>
      <c r="AS38" s="279"/>
      <c r="AT38" s="279"/>
      <c r="AU38" s="880"/>
    </row>
    <row r="39" spans="1:47" ht="17.25" customHeight="1" hidden="1">
      <c r="A39" s="903"/>
      <c r="B39" s="275" t="s">
        <v>182</v>
      </c>
      <c r="C39" s="875"/>
      <c r="D39" s="878"/>
      <c r="E39" s="271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87"/>
      <c r="AI39" s="287"/>
      <c r="AJ39" s="291"/>
      <c r="AK39" s="291"/>
      <c r="AL39" s="291"/>
      <c r="AM39" s="291"/>
      <c r="AN39" s="291"/>
      <c r="AO39" s="291"/>
      <c r="AP39" s="291"/>
      <c r="AQ39" s="291"/>
      <c r="AR39" s="279"/>
      <c r="AS39" s="279"/>
      <c r="AT39" s="279"/>
      <c r="AU39" s="880"/>
    </row>
    <row r="40" spans="1:47" ht="20.25" customHeight="1" hidden="1">
      <c r="A40" s="903"/>
      <c r="B40" s="275" t="s">
        <v>183</v>
      </c>
      <c r="C40" s="876"/>
      <c r="D40" s="879"/>
      <c r="E40" s="280"/>
      <c r="F40" s="276">
        <f>F36-F37-F39</f>
        <v>654</v>
      </c>
      <c r="G40" s="276"/>
      <c r="H40" s="276">
        <f>H36-H37-H39</f>
        <v>0</v>
      </c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>
        <f>AB36-AB37-AB39</f>
        <v>81</v>
      </c>
      <c r="AC40" s="276"/>
      <c r="AD40" s="276"/>
      <c r="AE40" s="276"/>
      <c r="AF40" s="276">
        <f>AF36-AF37-AF39</f>
        <v>81</v>
      </c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81"/>
      <c r="AU40" s="880"/>
    </row>
    <row r="41" spans="1:47" ht="26.25" customHeight="1" hidden="1">
      <c r="A41" s="292"/>
      <c r="B41" s="290" t="s">
        <v>203</v>
      </c>
      <c r="C41" s="276" t="s">
        <v>189</v>
      </c>
      <c r="D41" s="283">
        <v>21.2</v>
      </c>
      <c r="E41" s="280"/>
      <c r="F41" s="268">
        <v>712</v>
      </c>
      <c r="G41" s="268"/>
      <c r="H41" s="268">
        <f>SUM(J41:X41)</f>
        <v>50</v>
      </c>
      <c r="I41" s="268"/>
      <c r="J41" s="268"/>
      <c r="K41" s="268"/>
      <c r="L41" s="268"/>
      <c r="M41" s="268"/>
      <c r="N41" s="268"/>
      <c r="O41" s="268"/>
      <c r="P41" s="268"/>
      <c r="Q41" s="268"/>
      <c r="R41" s="268">
        <v>20</v>
      </c>
      <c r="S41" s="268"/>
      <c r="T41" s="268"/>
      <c r="U41" s="268"/>
      <c r="V41" s="268">
        <v>30</v>
      </c>
      <c r="W41" s="268"/>
      <c r="X41" s="268"/>
      <c r="Y41" s="268"/>
      <c r="Z41" s="268"/>
      <c r="AA41" s="268"/>
      <c r="AB41" s="268">
        <f>SUM(AD41:AR41)</f>
        <v>97</v>
      </c>
      <c r="AC41" s="268"/>
      <c r="AD41" s="268"/>
      <c r="AE41" s="268"/>
      <c r="AF41" s="268">
        <v>27</v>
      </c>
      <c r="AG41" s="268"/>
      <c r="AH41" s="274"/>
      <c r="AI41" s="274"/>
      <c r="AJ41" s="284"/>
      <c r="AK41" s="284"/>
      <c r="AL41" s="284"/>
      <c r="AM41" s="284"/>
      <c r="AN41" s="272">
        <v>70</v>
      </c>
      <c r="AO41" s="272"/>
      <c r="AP41" s="272"/>
      <c r="AQ41" s="272"/>
      <c r="AR41" s="274"/>
      <c r="AS41" s="274"/>
      <c r="AT41" s="274"/>
      <c r="AU41" s="293"/>
    </row>
    <row r="42" spans="1:47" ht="24" customHeight="1" hidden="1">
      <c r="A42" s="911"/>
      <c r="B42" s="294" t="s">
        <v>204</v>
      </c>
      <c r="C42" s="874" t="s">
        <v>205</v>
      </c>
      <c r="D42" s="914">
        <v>45.3</v>
      </c>
      <c r="E42" s="295"/>
      <c r="F42" s="268">
        <v>794</v>
      </c>
      <c r="G42" s="268"/>
      <c r="H42" s="268">
        <f>SUM(J42:Z42)</f>
        <v>0</v>
      </c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>
        <f>SUM(AD42:AR42)</f>
        <v>14</v>
      </c>
      <c r="AC42" s="268"/>
      <c r="AD42" s="268"/>
      <c r="AE42" s="268"/>
      <c r="AF42" s="268"/>
      <c r="AG42" s="268"/>
      <c r="AH42" s="273"/>
      <c r="AI42" s="273"/>
      <c r="AJ42" s="273"/>
      <c r="AK42" s="273"/>
      <c r="AL42" s="273"/>
      <c r="AM42" s="273"/>
      <c r="AN42" s="272">
        <v>14</v>
      </c>
      <c r="AO42" s="272"/>
      <c r="AP42" s="272"/>
      <c r="AQ42" s="272"/>
      <c r="AR42" s="274"/>
      <c r="AS42" s="274"/>
      <c r="AT42" s="274"/>
      <c r="AU42" s="894" t="s">
        <v>206</v>
      </c>
    </row>
    <row r="43" spans="1:47" ht="20.25" customHeight="1" hidden="1">
      <c r="A43" s="912"/>
      <c r="B43" s="275" t="s">
        <v>180</v>
      </c>
      <c r="C43" s="875"/>
      <c r="D43" s="915"/>
      <c r="E43" s="295"/>
      <c r="F43" s="296"/>
      <c r="G43" s="296"/>
      <c r="H43" s="276"/>
      <c r="I43" s="27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76"/>
      <c r="AC43" s="276"/>
      <c r="AD43" s="296"/>
      <c r="AE43" s="296"/>
      <c r="AF43" s="296"/>
      <c r="AG43" s="296"/>
      <c r="AH43" s="297"/>
      <c r="AI43" s="297"/>
      <c r="AJ43" s="297"/>
      <c r="AK43" s="297"/>
      <c r="AL43" s="297"/>
      <c r="AM43" s="297"/>
      <c r="AN43" s="298"/>
      <c r="AO43" s="298"/>
      <c r="AP43" s="298"/>
      <c r="AQ43" s="298"/>
      <c r="AR43" s="299"/>
      <c r="AS43" s="299"/>
      <c r="AT43" s="299"/>
      <c r="AU43" s="894"/>
    </row>
    <row r="44" spans="1:47" ht="21.75" customHeight="1" hidden="1">
      <c r="A44" s="912"/>
      <c r="B44" s="275" t="s">
        <v>181</v>
      </c>
      <c r="C44" s="875"/>
      <c r="D44" s="915"/>
      <c r="E44" s="295"/>
      <c r="F44" s="296"/>
      <c r="G44" s="296"/>
      <c r="H44" s="276"/>
      <c r="I44" s="27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76"/>
      <c r="AC44" s="276"/>
      <c r="AD44" s="296"/>
      <c r="AE44" s="296"/>
      <c r="AF44" s="296"/>
      <c r="AG44" s="296"/>
      <c r="AH44" s="297"/>
      <c r="AI44" s="297"/>
      <c r="AJ44" s="297"/>
      <c r="AK44" s="297"/>
      <c r="AL44" s="297"/>
      <c r="AM44" s="297"/>
      <c r="AN44" s="298"/>
      <c r="AO44" s="298"/>
      <c r="AP44" s="298"/>
      <c r="AQ44" s="298"/>
      <c r="AR44" s="299"/>
      <c r="AS44" s="299"/>
      <c r="AT44" s="299"/>
      <c r="AU44" s="894"/>
    </row>
    <row r="45" spans="1:47" ht="20.25" customHeight="1" hidden="1">
      <c r="A45" s="912"/>
      <c r="B45" s="275" t="s">
        <v>182</v>
      </c>
      <c r="C45" s="875"/>
      <c r="D45" s="915"/>
      <c r="E45" s="295"/>
      <c r="F45" s="296"/>
      <c r="G45" s="296"/>
      <c r="H45" s="276"/>
      <c r="I45" s="27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76"/>
      <c r="AC45" s="276"/>
      <c r="AD45" s="296"/>
      <c r="AE45" s="296"/>
      <c r="AF45" s="296"/>
      <c r="AG45" s="296"/>
      <c r="AH45" s="297"/>
      <c r="AI45" s="297"/>
      <c r="AJ45" s="297"/>
      <c r="AK45" s="297"/>
      <c r="AL45" s="297"/>
      <c r="AM45" s="297"/>
      <c r="AN45" s="298"/>
      <c r="AO45" s="298"/>
      <c r="AP45" s="298"/>
      <c r="AQ45" s="298"/>
      <c r="AR45" s="299"/>
      <c r="AS45" s="299"/>
      <c r="AT45" s="299"/>
      <c r="AU45" s="894"/>
    </row>
    <row r="46" spans="1:47" ht="20.25" customHeight="1" hidden="1">
      <c r="A46" s="913"/>
      <c r="B46" s="275" t="s">
        <v>183</v>
      </c>
      <c r="C46" s="876"/>
      <c r="D46" s="916"/>
      <c r="E46" s="300"/>
      <c r="F46" s="296">
        <f>F42-F43-F45</f>
        <v>794</v>
      </c>
      <c r="G46" s="296"/>
      <c r="H46" s="296">
        <f>H42-H43-H45</f>
        <v>0</v>
      </c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>
        <f>AB42-AB43-AB45</f>
        <v>14</v>
      </c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>
        <f>AN42-AN43-AN45</f>
        <v>14</v>
      </c>
      <c r="AO46" s="296"/>
      <c r="AP46" s="296"/>
      <c r="AQ46" s="296"/>
      <c r="AR46" s="296"/>
      <c r="AS46" s="296"/>
      <c r="AT46" s="301"/>
      <c r="AU46" s="894"/>
    </row>
    <row r="47" spans="1:47" ht="26.25" customHeight="1" hidden="1">
      <c r="A47" s="302"/>
      <c r="B47" s="294" t="s">
        <v>207</v>
      </c>
      <c r="C47" s="281" t="s">
        <v>189</v>
      </c>
      <c r="D47" s="283">
        <f>40+40.01</f>
        <v>80.00999999999999</v>
      </c>
      <c r="E47" s="280"/>
      <c r="F47" s="268">
        <f>1041+701</f>
        <v>1742</v>
      </c>
      <c r="G47" s="268"/>
      <c r="H47" s="268">
        <f>SUM(J47:X47)</f>
        <v>156</v>
      </c>
      <c r="I47" s="268"/>
      <c r="J47" s="268"/>
      <c r="K47" s="268"/>
      <c r="L47" s="268"/>
      <c r="M47" s="268"/>
      <c r="N47" s="268"/>
      <c r="O47" s="268"/>
      <c r="P47" s="268"/>
      <c r="Q47" s="268"/>
      <c r="R47" s="268">
        <v>96</v>
      </c>
      <c r="S47" s="268"/>
      <c r="T47" s="268"/>
      <c r="U47" s="268"/>
      <c r="V47" s="268">
        <f>30+30</f>
        <v>60</v>
      </c>
      <c r="W47" s="268"/>
      <c r="X47" s="268"/>
      <c r="Y47" s="268"/>
      <c r="Z47" s="268"/>
      <c r="AA47" s="268"/>
      <c r="AB47" s="268">
        <f>SUM(AD47:AR47)</f>
        <v>327</v>
      </c>
      <c r="AC47" s="268"/>
      <c r="AD47" s="268"/>
      <c r="AE47" s="268"/>
      <c r="AF47" s="268">
        <f>135+54+2</f>
        <v>191</v>
      </c>
      <c r="AG47" s="268"/>
      <c r="AH47" s="272">
        <f>26+26</f>
        <v>52</v>
      </c>
      <c r="AI47" s="272"/>
      <c r="AJ47" s="273"/>
      <c r="AK47" s="273"/>
      <c r="AL47" s="273"/>
      <c r="AM47" s="273"/>
      <c r="AN47" s="273">
        <f>42+42</f>
        <v>84</v>
      </c>
      <c r="AO47" s="273"/>
      <c r="AP47" s="273"/>
      <c r="AQ47" s="273"/>
      <c r="AR47" s="274"/>
      <c r="AS47" s="274"/>
      <c r="AT47" s="274"/>
      <c r="AU47" s="303"/>
    </row>
    <row r="48" spans="1:47" ht="32.25" customHeight="1" hidden="1">
      <c r="A48" s="302"/>
      <c r="B48" s="266" t="s">
        <v>208</v>
      </c>
      <c r="C48" s="281" t="s">
        <v>189</v>
      </c>
      <c r="D48" s="283">
        <v>17.695</v>
      </c>
      <c r="E48" s="280"/>
      <c r="F48" s="268">
        <f>59+67+6</f>
        <v>132</v>
      </c>
      <c r="G48" s="268"/>
      <c r="H48" s="268">
        <f>SUM(J48:X48)</f>
        <v>132</v>
      </c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>
        <v>132</v>
      </c>
      <c r="W48" s="268"/>
      <c r="X48" s="268"/>
      <c r="Y48" s="268"/>
      <c r="Z48" s="268"/>
      <c r="AA48" s="268"/>
      <c r="AB48" s="268">
        <f>SUM(AD48:AR48)</f>
        <v>0</v>
      </c>
      <c r="AC48" s="268"/>
      <c r="AD48" s="268"/>
      <c r="AE48" s="268"/>
      <c r="AF48" s="268"/>
      <c r="AG48" s="268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4"/>
      <c r="AS48" s="274"/>
      <c r="AT48" s="274"/>
      <c r="AU48" s="303"/>
    </row>
    <row r="49" spans="1:47" ht="36" customHeight="1" hidden="1">
      <c r="A49" s="895" t="s">
        <v>209</v>
      </c>
      <c r="B49" s="896"/>
      <c r="C49" s="896"/>
      <c r="D49" s="897"/>
      <c r="E49" s="304"/>
      <c r="F49" s="268">
        <f aca="true" t="shared" si="3" ref="F49:H51">F15+F22+F27+F32+F37+F43</f>
        <v>0</v>
      </c>
      <c r="G49" s="268"/>
      <c r="H49" s="268">
        <f t="shared" si="3"/>
        <v>0</v>
      </c>
      <c r="I49" s="268"/>
      <c r="J49" s="268">
        <f aca="true" t="shared" si="4" ref="J49:AR51">J15+J22+J27+J32+J37+J43</f>
        <v>0</v>
      </c>
      <c r="K49" s="268"/>
      <c r="L49" s="268">
        <f t="shared" si="4"/>
        <v>0</v>
      </c>
      <c r="M49" s="268"/>
      <c r="N49" s="268">
        <f t="shared" si="4"/>
        <v>0</v>
      </c>
      <c r="O49" s="268"/>
      <c r="P49" s="268">
        <f t="shared" si="4"/>
        <v>0</v>
      </c>
      <c r="Q49" s="268"/>
      <c r="R49" s="268">
        <f t="shared" si="4"/>
        <v>0</v>
      </c>
      <c r="S49" s="268"/>
      <c r="T49" s="268">
        <f t="shared" si="4"/>
        <v>0</v>
      </c>
      <c r="U49" s="268"/>
      <c r="V49" s="268">
        <f t="shared" si="4"/>
        <v>0</v>
      </c>
      <c r="W49" s="268"/>
      <c r="X49" s="268">
        <f t="shared" si="4"/>
        <v>0</v>
      </c>
      <c r="Y49" s="268"/>
      <c r="Z49" s="268">
        <f t="shared" si="4"/>
        <v>0</v>
      </c>
      <c r="AA49" s="268"/>
      <c r="AB49" s="268">
        <f t="shared" si="4"/>
        <v>0</v>
      </c>
      <c r="AC49" s="268"/>
      <c r="AD49" s="268">
        <f t="shared" si="4"/>
        <v>0</v>
      </c>
      <c r="AE49" s="268"/>
      <c r="AF49" s="268">
        <f t="shared" si="4"/>
        <v>0</v>
      </c>
      <c r="AG49" s="268"/>
      <c r="AH49" s="268">
        <f t="shared" si="4"/>
        <v>0</v>
      </c>
      <c r="AI49" s="268"/>
      <c r="AJ49" s="268">
        <f t="shared" si="4"/>
        <v>0</v>
      </c>
      <c r="AK49" s="268"/>
      <c r="AL49" s="268">
        <f t="shared" si="4"/>
        <v>0</v>
      </c>
      <c r="AM49" s="268"/>
      <c r="AN49" s="268">
        <f t="shared" si="4"/>
        <v>0</v>
      </c>
      <c r="AO49" s="268"/>
      <c r="AP49" s="268">
        <f t="shared" si="4"/>
        <v>0</v>
      </c>
      <c r="AQ49" s="268"/>
      <c r="AR49" s="268">
        <f t="shared" si="4"/>
        <v>0</v>
      </c>
      <c r="AS49" s="268"/>
      <c r="AT49" s="269"/>
      <c r="AU49" s="285"/>
    </row>
    <row r="50" spans="1:47" ht="32.25" customHeight="1" hidden="1">
      <c r="A50" s="898" t="s">
        <v>181</v>
      </c>
      <c r="B50" s="899"/>
      <c r="C50" s="899"/>
      <c r="D50" s="900"/>
      <c r="E50" s="305"/>
      <c r="F50" s="268">
        <f t="shared" si="3"/>
        <v>0</v>
      </c>
      <c r="G50" s="268"/>
      <c r="H50" s="268">
        <f t="shared" si="3"/>
        <v>0</v>
      </c>
      <c r="I50" s="268"/>
      <c r="J50" s="268">
        <f t="shared" si="4"/>
        <v>0</v>
      </c>
      <c r="K50" s="268"/>
      <c r="L50" s="268">
        <f t="shared" si="4"/>
        <v>0</v>
      </c>
      <c r="M50" s="268"/>
      <c r="N50" s="268">
        <f t="shared" si="4"/>
        <v>0</v>
      </c>
      <c r="O50" s="268"/>
      <c r="P50" s="268">
        <f t="shared" si="4"/>
        <v>0</v>
      </c>
      <c r="Q50" s="268"/>
      <c r="R50" s="268">
        <f t="shared" si="4"/>
        <v>0</v>
      </c>
      <c r="S50" s="268"/>
      <c r="T50" s="268">
        <f t="shared" si="4"/>
        <v>0</v>
      </c>
      <c r="U50" s="268"/>
      <c r="V50" s="268">
        <f t="shared" si="4"/>
        <v>0</v>
      </c>
      <c r="W50" s="268"/>
      <c r="X50" s="268">
        <f t="shared" si="4"/>
        <v>0</v>
      </c>
      <c r="Y50" s="268"/>
      <c r="Z50" s="268">
        <f t="shared" si="4"/>
        <v>0</v>
      </c>
      <c r="AA50" s="268"/>
      <c r="AB50" s="268">
        <f t="shared" si="4"/>
        <v>0</v>
      </c>
      <c r="AC50" s="268"/>
      <c r="AD50" s="268">
        <f t="shared" si="4"/>
        <v>0</v>
      </c>
      <c r="AE50" s="268"/>
      <c r="AF50" s="268">
        <f t="shared" si="4"/>
        <v>0</v>
      </c>
      <c r="AG50" s="268"/>
      <c r="AH50" s="268">
        <f t="shared" si="4"/>
        <v>0</v>
      </c>
      <c r="AI50" s="268"/>
      <c r="AJ50" s="268">
        <f t="shared" si="4"/>
        <v>0</v>
      </c>
      <c r="AK50" s="268"/>
      <c r="AL50" s="268">
        <f t="shared" si="4"/>
        <v>0</v>
      </c>
      <c r="AM50" s="268"/>
      <c r="AN50" s="268">
        <f t="shared" si="4"/>
        <v>0</v>
      </c>
      <c r="AO50" s="268"/>
      <c r="AP50" s="268">
        <f t="shared" si="4"/>
        <v>0</v>
      </c>
      <c r="AQ50" s="268"/>
      <c r="AR50" s="268">
        <f t="shared" si="4"/>
        <v>0</v>
      </c>
      <c r="AS50" s="268"/>
      <c r="AT50" s="269"/>
      <c r="AU50" s="285"/>
    </row>
    <row r="51" spans="1:47" ht="32.25" customHeight="1" hidden="1">
      <c r="A51" s="898" t="s">
        <v>182</v>
      </c>
      <c r="B51" s="899"/>
      <c r="C51" s="899"/>
      <c r="D51" s="900"/>
      <c r="E51" s="305"/>
      <c r="F51" s="268">
        <f t="shared" si="3"/>
        <v>0</v>
      </c>
      <c r="G51" s="268"/>
      <c r="H51" s="268">
        <f t="shared" si="3"/>
        <v>0</v>
      </c>
      <c r="I51" s="268"/>
      <c r="J51" s="268">
        <f t="shared" si="4"/>
        <v>0</v>
      </c>
      <c r="K51" s="268"/>
      <c r="L51" s="268">
        <f t="shared" si="4"/>
        <v>0</v>
      </c>
      <c r="M51" s="268"/>
      <c r="N51" s="268">
        <f t="shared" si="4"/>
        <v>0</v>
      </c>
      <c r="O51" s="268"/>
      <c r="P51" s="268">
        <f t="shared" si="4"/>
        <v>0</v>
      </c>
      <c r="Q51" s="268"/>
      <c r="R51" s="268">
        <f t="shared" si="4"/>
        <v>0</v>
      </c>
      <c r="S51" s="268"/>
      <c r="T51" s="268">
        <f t="shared" si="4"/>
        <v>0</v>
      </c>
      <c r="U51" s="268"/>
      <c r="V51" s="268">
        <f t="shared" si="4"/>
        <v>0</v>
      </c>
      <c r="W51" s="268"/>
      <c r="X51" s="268">
        <f t="shared" si="4"/>
        <v>0</v>
      </c>
      <c r="Y51" s="268"/>
      <c r="Z51" s="268">
        <f t="shared" si="4"/>
        <v>0</v>
      </c>
      <c r="AA51" s="268"/>
      <c r="AB51" s="268">
        <f t="shared" si="4"/>
        <v>0</v>
      </c>
      <c r="AC51" s="268"/>
      <c r="AD51" s="268">
        <f t="shared" si="4"/>
        <v>0</v>
      </c>
      <c r="AE51" s="268"/>
      <c r="AF51" s="268">
        <f t="shared" si="4"/>
        <v>0</v>
      </c>
      <c r="AG51" s="268"/>
      <c r="AH51" s="268">
        <f t="shared" si="4"/>
        <v>0</v>
      </c>
      <c r="AI51" s="268"/>
      <c r="AJ51" s="268">
        <f t="shared" si="4"/>
        <v>0</v>
      </c>
      <c r="AK51" s="268"/>
      <c r="AL51" s="268">
        <f t="shared" si="4"/>
        <v>0</v>
      </c>
      <c r="AM51" s="268"/>
      <c r="AN51" s="268">
        <f t="shared" si="4"/>
        <v>0</v>
      </c>
      <c r="AO51" s="268"/>
      <c r="AP51" s="268">
        <f t="shared" si="4"/>
        <v>0</v>
      </c>
      <c r="AQ51" s="268"/>
      <c r="AR51" s="268">
        <f t="shared" si="4"/>
        <v>0</v>
      </c>
      <c r="AS51" s="268"/>
      <c r="AT51" s="269"/>
      <c r="AU51" s="285"/>
    </row>
    <row r="52" spans="1:47" ht="32.25" customHeight="1" hidden="1">
      <c r="A52" s="904" t="s">
        <v>183</v>
      </c>
      <c r="B52" s="905"/>
      <c r="C52" s="905"/>
      <c r="D52" s="306"/>
      <c r="E52" s="307"/>
      <c r="F52" s="268">
        <f>F18+F19+F20+F25+F30+F35+F40+F41+F46+F47+F48</f>
        <v>13152</v>
      </c>
      <c r="G52" s="268"/>
      <c r="H52" s="268">
        <f>H18+H19+H20+H25+H30+H35+H40+H41+H46+H47+H48</f>
        <v>946</v>
      </c>
      <c r="I52" s="268"/>
      <c r="J52" s="268">
        <f aca="true" t="shared" si="5" ref="J52:AR52">J18+J19+J20+J25+J30+J35+J40+J41+J46+J47+J48</f>
        <v>0</v>
      </c>
      <c r="K52" s="268"/>
      <c r="L52" s="268">
        <f t="shared" si="5"/>
        <v>0</v>
      </c>
      <c r="M52" s="268"/>
      <c r="N52" s="268">
        <f t="shared" si="5"/>
        <v>0</v>
      </c>
      <c r="O52" s="268"/>
      <c r="P52" s="268">
        <f t="shared" si="5"/>
        <v>0</v>
      </c>
      <c r="Q52" s="268"/>
      <c r="R52" s="268">
        <f t="shared" si="5"/>
        <v>501</v>
      </c>
      <c r="S52" s="268"/>
      <c r="T52" s="268">
        <f t="shared" si="5"/>
        <v>0</v>
      </c>
      <c r="U52" s="268"/>
      <c r="V52" s="268">
        <f t="shared" si="5"/>
        <v>426</v>
      </c>
      <c r="W52" s="268"/>
      <c r="X52" s="268">
        <f t="shared" si="5"/>
        <v>19</v>
      </c>
      <c r="Y52" s="268"/>
      <c r="Z52" s="268">
        <f t="shared" si="5"/>
        <v>0</v>
      </c>
      <c r="AA52" s="268"/>
      <c r="AB52" s="268">
        <f>AB18+AB19+AB20+AB25+AB30+AB35+AB40+AB41+AB46+AB47+AB48</f>
        <v>2685</v>
      </c>
      <c r="AC52" s="268"/>
      <c r="AD52" s="268">
        <f t="shared" si="5"/>
        <v>0</v>
      </c>
      <c r="AE52" s="268"/>
      <c r="AF52" s="268">
        <f t="shared" si="5"/>
        <v>353</v>
      </c>
      <c r="AG52" s="268"/>
      <c r="AH52" s="268">
        <f t="shared" si="5"/>
        <v>104</v>
      </c>
      <c r="AI52" s="268"/>
      <c r="AJ52" s="268">
        <f t="shared" si="5"/>
        <v>1771</v>
      </c>
      <c r="AK52" s="268"/>
      <c r="AL52" s="268">
        <f t="shared" si="5"/>
        <v>0</v>
      </c>
      <c r="AM52" s="268"/>
      <c r="AN52" s="268">
        <f t="shared" si="5"/>
        <v>379</v>
      </c>
      <c r="AO52" s="268"/>
      <c r="AP52" s="268">
        <f t="shared" si="5"/>
        <v>78</v>
      </c>
      <c r="AQ52" s="268"/>
      <c r="AR52" s="268">
        <f t="shared" si="5"/>
        <v>0</v>
      </c>
      <c r="AS52" s="268"/>
      <c r="AT52" s="269"/>
      <c r="AU52" s="285"/>
    </row>
    <row r="53" spans="1:47" ht="25.5" customHeight="1" hidden="1">
      <c r="A53" s="906" t="s">
        <v>210</v>
      </c>
      <c r="B53" s="907"/>
      <c r="C53" s="908"/>
      <c r="D53" s="308"/>
      <c r="E53" s="308"/>
      <c r="F53" s="309" t="e">
        <f>#REF!+#REF!+#REF!+F13</f>
        <v>#REF!</v>
      </c>
      <c r="G53" s="309"/>
      <c r="H53" s="309" t="e">
        <f>#REF!+#REF!+#REF!+H13</f>
        <v>#REF!</v>
      </c>
      <c r="I53" s="309"/>
      <c r="J53" s="308" t="e">
        <f>#REF!+#REF!+#REF!+J13</f>
        <v>#REF!</v>
      </c>
      <c r="K53" s="308"/>
      <c r="L53" s="308" t="e">
        <f>#REF!+#REF!+#REF!+L13</f>
        <v>#REF!</v>
      </c>
      <c r="M53" s="308"/>
      <c r="N53" s="308" t="e">
        <f>#REF!+#REF!+#REF!+N13</f>
        <v>#REF!</v>
      </c>
      <c r="O53" s="308"/>
      <c r="P53" s="308" t="e">
        <f>#REF!+#REF!+#REF!+P13</f>
        <v>#REF!</v>
      </c>
      <c r="Q53" s="308"/>
      <c r="R53" s="308" t="e">
        <f>#REF!+#REF!+#REF!+R13</f>
        <v>#REF!</v>
      </c>
      <c r="S53" s="308"/>
      <c r="T53" s="308" t="e">
        <f>#REF!+#REF!+#REF!+T13</f>
        <v>#REF!</v>
      </c>
      <c r="U53" s="308"/>
      <c r="V53" s="308" t="e">
        <f>#REF!+#REF!+#REF!+V13</f>
        <v>#REF!</v>
      </c>
      <c r="W53" s="308"/>
      <c r="X53" s="308" t="e">
        <f>#REF!+#REF!+#REF!+X13</f>
        <v>#REF!</v>
      </c>
      <c r="Y53" s="308"/>
      <c r="Z53" s="308" t="e">
        <f>#REF!+#REF!+#REF!+Z13</f>
        <v>#REF!</v>
      </c>
      <c r="AA53" s="308"/>
      <c r="AB53" s="309" t="e">
        <f>#REF!+#REF!+#REF!+AB13</f>
        <v>#REF!</v>
      </c>
      <c r="AC53" s="309"/>
      <c r="AD53" s="308" t="e">
        <f>#REF!+#REF!+#REF!+AD13</f>
        <v>#REF!</v>
      </c>
      <c r="AE53" s="308"/>
      <c r="AF53" s="308" t="e">
        <f>#REF!+#REF!+#REF!+AF13</f>
        <v>#REF!</v>
      </c>
      <c r="AG53" s="308"/>
      <c r="AH53" s="308" t="e">
        <f>#REF!+#REF!+#REF!+AH13</f>
        <v>#REF!</v>
      </c>
      <c r="AI53" s="308"/>
      <c r="AJ53" s="308" t="e">
        <f>#REF!+#REF!+#REF!+AJ13</f>
        <v>#REF!</v>
      </c>
      <c r="AK53" s="308"/>
      <c r="AL53" s="308" t="e">
        <f>#REF!+#REF!+#REF!+AL13</f>
        <v>#REF!</v>
      </c>
      <c r="AM53" s="308"/>
      <c r="AN53" s="308" t="e">
        <f>#REF!+#REF!+#REF!+AN13</f>
        <v>#REF!</v>
      </c>
      <c r="AO53" s="308"/>
      <c r="AP53" s="308" t="e">
        <f>#REF!+#REF!+#REF!+AP13</f>
        <v>#REF!</v>
      </c>
      <c r="AQ53" s="308"/>
      <c r="AR53" s="308" t="e">
        <f>#REF!+#REF!+#REF!+AR13</f>
        <v>#REF!</v>
      </c>
      <c r="AS53" s="308"/>
      <c r="AT53" s="308"/>
      <c r="AU53" s="310"/>
    </row>
    <row r="54" spans="1:47" ht="25.5" customHeight="1" hidden="1">
      <c r="A54" s="906" t="s">
        <v>180</v>
      </c>
      <c r="B54" s="907"/>
      <c r="C54" s="908"/>
      <c r="D54" s="311"/>
      <c r="E54" s="311"/>
      <c r="F54" s="312" t="e">
        <f>#REF!+#REF!+#REF!+F49</f>
        <v>#REF!</v>
      </c>
      <c r="G54" s="312"/>
      <c r="H54" s="312" t="e">
        <f>#REF!+#REF!+#REF!+H49</f>
        <v>#REF!</v>
      </c>
      <c r="I54" s="312"/>
      <c r="J54" s="313" t="e">
        <f>#REF!+#REF!+#REF!+J49</f>
        <v>#REF!</v>
      </c>
      <c r="K54" s="313"/>
      <c r="L54" s="313" t="e">
        <f>#REF!+#REF!+#REF!+L49</f>
        <v>#REF!</v>
      </c>
      <c r="M54" s="313"/>
      <c r="N54" s="313" t="e">
        <f>#REF!+#REF!+#REF!+N49</f>
        <v>#REF!</v>
      </c>
      <c r="O54" s="313"/>
      <c r="P54" s="313" t="e">
        <f>#REF!+#REF!+#REF!+P49</f>
        <v>#REF!</v>
      </c>
      <c r="Q54" s="313"/>
      <c r="R54" s="313" t="e">
        <f>#REF!+#REF!+#REF!+R49</f>
        <v>#REF!</v>
      </c>
      <c r="S54" s="313"/>
      <c r="T54" s="313" t="e">
        <f>#REF!+#REF!+#REF!+T49</f>
        <v>#REF!</v>
      </c>
      <c r="U54" s="313"/>
      <c r="V54" s="313" t="e">
        <f>#REF!+#REF!+#REF!+V49</f>
        <v>#REF!</v>
      </c>
      <c r="W54" s="313"/>
      <c r="X54" s="313" t="e">
        <f>#REF!+#REF!+#REF!+X49</f>
        <v>#REF!</v>
      </c>
      <c r="Y54" s="313"/>
      <c r="Z54" s="313" t="e">
        <f>#REF!+#REF!+#REF!+Z49</f>
        <v>#REF!</v>
      </c>
      <c r="AA54" s="313"/>
      <c r="AB54" s="312" t="e">
        <f>#REF!+#REF!+#REF!+AB49</f>
        <v>#REF!</v>
      </c>
      <c r="AC54" s="312"/>
      <c r="AD54" s="313" t="e">
        <f>#REF!+#REF!+#REF!+AD49</f>
        <v>#REF!</v>
      </c>
      <c r="AE54" s="313"/>
      <c r="AF54" s="313" t="e">
        <f>#REF!+#REF!+#REF!+AF49</f>
        <v>#REF!</v>
      </c>
      <c r="AG54" s="313"/>
      <c r="AH54" s="313" t="e">
        <f>#REF!+#REF!+#REF!+AH49</f>
        <v>#REF!</v>
      </c>
      <c r="AI54" s="313"/>
      <c r="AJ54" s="313" t="e">
        <f>#REF!+#REF!+#REF!+AJ49</f>
        <v>#REF!</v>
      </c>
      <c r="AK54" s="313"/>
      <c r="AL54" s="313" t="e">
        <f>#REF!+#REF!+#REF!+AL49</f>
        <v>#REF!</v>
      </c>
      <c r="AM54" s="313"/>
      <c r="AN54" s="313" t="e">
        <f>#REF!+#REF!+#REF!+AN49</f>
        <v>#REF!</v>
      </c>
      <c r="AO54" s="313"/>
      <c r="AP54" s="313" t="e">
        <f>#REF!+#REF!+#REF!+AP49</f>
        <v>#REF!</v>
      </c>
      <c r="AQ54" s="313"/>
      <c r="AR54" s="313" t="e">
        <f>#REF!+#REF!+#REF!+AR49</f>
        <v>#REF!</v>
      </c>
      <c r="AS54" s="313"/>
      <c r="AT54" s="313"/>
      <c r="AU54" s="310"/>
    </row>
    <row r="55" spans="1:47" ht="25.5" customHeight="1" hidden="1">
      <c r="A55" s="906" t="s">
        <v>181</v>
      </c>
      <c r="B55" s="909"/>
      <c r="C55" s="910"/>
      <c r="D55" s="311"/>
      <c r="E55" s="311"/>
      <c r="F55" s="312" t="e">
        <f>#REF!+#REF!+#REF!+F50</f>
        <v>#REF!</v>
      </c>
      <c r="G55" s="312"/>
      <c r="H55" s="312" t="e">
        <f>#REF!+#REF!+#REF!+H50</f>
        <v>#REF!</v>
      </c>
      <c r="I55" s="312"/>
      <c r="J55" s="312" t="e">
        <f>#REF!+#REF!+#REF!+J50</f>
        <v>#REF!</v>
      </c>
      <c r="K55" s="312"/>
      <c r="L55" s="312" t="e">
        <f>#REF!+#REF!+#REF!+L50</f>
        <v>#REF!</v>
      </c>
      <c r="M55" s="312"/>
      <c r="N55" s="312" t="e">
        <f>#REF!+#REF!+#REF!+N50</f>
        <v>#REF!</v>
      </c>
      <c r="O55" s="312"/>
      <c r="P55" s="312" t="e">
        <f>#REF!+#REF!+#REF!+P50</f>
        <v>#REF!</v>
      </c>
      <c r="Q55" s="312"/>
      <c r="R55" s="312" t="e">
        <f>#REF!+#REF!+#REF!+R50</f>
        <v>#REF!</v>
      </c>
      <c r="S55" s="312"/>
      <c r="T55" s="312" t="e">
        <f>#REF!+#REF!+#REF!+T50</f>
        <v>#REF!</v>
      </c>
      <c r="U55" s="312"/>
      <c r="V55" s="312" t="e">
        <f>#REF!+#REF!+#REF!+V50</f>
        <v>#REF!</v>
      </c>
      <c r="W55" s="312"/>
      <c r="X55" s="312" t="e">
        <f>#REF!+#REF!+#REF!+X50</f>
        <v>#REF!</v>
      </c>
      <c r="Y55" s="312"/>
      <c r="Z55" s="312" t="e">
        <f>#REF!+#REF!+#REF!+Z50</f>
        <v>#REF!</v>
      </c>
      <c r="AA55" s="312"/>
      <c r="AB55" s="312" t="e">
        <f>#REF!+#REF!+#REF!+AB50</f>
        <v>#REF!</v>
      </c>
      <c r="AC55" s="312"/>
      <c r="AD55" s="312" t="e">
        <f>#REF!+#REF!+#REF!+AD50</f>
        <v>#REF!</v>
      </c>
      <c r="AE55" s="312"/>
      <c r="AF55" s="312" t="e">
        <f>#REF!+#REF!+#REF!+AF50</f>
        <v>#REF!</v>
      </c>
      <c r="AG55" s="312"/>
      <c r="AH55" s="312" t="e">
        <f>#REF!+#REF!+#REF!+AH50</f>
        <v>#REF!</v>
      </c>
      <c r="AI55" s="312"/>
      <c r="AJ55" s="312" t="e">
        <f>#REF!+#REF!+#REF!+AJ50</f>
        <v>#REF!</v>
      </c>
      <c r="AK55" s="312"/>
      <c r="AL55" s="312" t="e">
        <f>#REF!+#REF!+#REF!+AL50</f>
        <v>#REF!</v>
      </c>
      <c r="AM55" s="312"/>
      <c r="AN55" s="312" t="e">
        <f>#REF!+#REF!+#REF!+AN50</f>
        <v>#REF!</v>
      </c>
      <c r="AO55" s="312"/>
      <c r="AP55" s="312" t="e">
        <f>#REF!+#REF!+#REF!+AP50</f>
        <v>#REF!</v>
      </c>
      <c r="AQ55" s="312"/>
      <c r="AR55" s="312" t="e">
        <f>#REF!+#REF!+#REF!+AR50</f>
        <v>#REF!</v>
      </c>
      <c r="AS55" s="312"/>
      <c r="AT55" s="312"/>
      <c r="AU55" s="310"/>
    </row>
    <row r="56" spans="1:47" ht="25.5" customHeight="1" hidden="1">
      <c r="A56" s="906" t="s">
        <v>211</v>
      </c>
      <c r="B56" s="907"/>
      <c r="C56" s="908"/>
      <c r="D56" s="311"/>
      <c r="E56" s="311"/>
      <c r="F56" s="312" t="e">
        <f>#REF!+#REF!+#REF!+F51</f>
        <v>#REF!</v>
      </c>
      <c r="G56" s="312"/>
      <c r="H56" s="312" t="e">
        <f>#REF!+#REF!+#REF!+H51</f>
        <v>#REF!</v>
      </c>
      <c r="I56" s="312"/>
      <c r="J56" s="313" t="e">
        <f>#REF!+#REF!+#REF!+J51</f>
        <v>#REF!</v>
      </c>
      <c r="K56" s="313"/>
      <c r="L56" s="313" t="e">
        <f>#REF!+#REF!+#REF!+L51</f>
        <v>#REF!</v>
      </c>
      <c r="M56" s="313"/>
      <c r="N56" s="313" t="e">
        <f>#REF!+#REF!+#REF!+N51</f>
        <v>#REF!</v>
      </c>
      <c r="O56" s="313"/>
      <c r="P56" s="313" t="e">
        <f>#REF!+#REF!+#REF!+P51</f>
        <v>#REF!</v>
      </c>
      <c r="Q56" s="313"/>
      <c r="R56" s="313" t="e">
        <f>#REF!+#REF!+#REF!+R51</f>
        <v>#REF!</v>
      </c>
      <c r="S56" s="313"/>
      <c r="T56" s="313" t="e">
        <f>#REF!+#REF!+#REF!+T51</f>
        <v>#REF!</v>
      </c>
      <c r="U56" s="313"/>
      <c r="V56" s="313" t="e">
        <f>#REF!+#REF!+#REF!+V51</f>
        <v>#REF!</v>
      </c>
      <c r="W56" s="313"/>
      <c r="X56" s="313" t="e">
        <f>#REF!+#REF!+#REF!+X51</f>
        <v>#REF!</v>
      </c>
      <c r="Y56" s="313"/>
      <c r="Z56" s="313" t="e">
        <f>#REF!+#REF!+#REF!+Z51</f>
        <v>#REF!</v>
      </c>
      <c r="AA56" s="313"/>
      <c r="AB56" s="312" t="e">
        <f>#REF!+#REF!+#REF!+AB51</f>
        <v>#REF!</v>
      </c>
      <c r="AC56" s="312"/>
      <c r="AD56" s="313" t="e">
        <f>#REF!+#REF!+#REF!+AD51</f>
        <v>#REF!</v>
      </c>
      <c r="AE56" s="313"/>
      <c r="AF56" s="313" t="e">
        <f>#REF!+#REF!+#REF!+AF51</f>
        <v>#REF!</v>
      </c>
      <c r="AG56" s="313"/>
      <c r="AH56" s="313" t="e">
        <f>#REF!+#REF!+#REF!+AH51</f>
        <v>#REF!</v>
      </c>
      <c r="AI56" s="313"/>
      <c r="AJ56" s="313" t="e">
        <f>#REF!+#REF!+#REF!+AJ51</f>
        <v>#REF!</v>
      </c>
      <c r="AK56" s="313"/>
      <c r="AL56" s="313" t="e">
        <f>#REF!+#REF!+#REF!+AL51</f>
        <v>#REF!</v>
      </c>
      <c r="AM56" s="313"/>
      <c r="AN56" s="313" t="e">
        <f>#REF!+#REF!+#REF!+AN51</f>
        <v>#REF!</v>
      </c>
      <c r="AO56" s="313"/>
      <c r="AP56" s="313" t="e">
        <f>#REF!+#REF!+#REF!+AP51</f>
        <v>#REF!</v>
      </c>
      <c r="AQ56" s="313"/>
      <c r="AR56" s="313" t="e">
        <f>#REF!+#REF!+#REF!+AR51</f>
        <v>#REF!</v>
      </c>
      <c r="AS56" s="313"/>
      <c r="AT56" s="313"/>
      <c r="AU56" s="310"/>
    </row>
    <row r="57" spans="1:47" ht="37.5" customHeight="1" hidden="1">
      <c r="A57" s="923" t="s">
        <v>183</v>
      </c>
      <c r="B57" s="924"/>
      <c r="C57" s="925"/>
      <c r="D57" s="311"/>
      <c r="E57" s="311"/>
      <c r="F57" s="312" t="e">
        <f>#REF!+#REF!+#REF!+F52</f>
        <v>#REF!</v>
      </c>
      <c r="G57" s="312"/>
      <c r="H57" s="312" t="e">
        <f>#REF!+#REF!+#REF!+H52</f>
        <v>#REF!</v>
      </c>
      <c r="I57" s="312"/>
      <c r="J57" s="313" t="e">
        <f>#REF!+#REF!+#REF!+J52</f>
        <v>#REF!</v>
      </c>
      <c r="K57" s="313"/>
      <c r="L57" s="313" t="e">
        <f>#REF!+#REF!+#REF!+L52</f>
        <v>#REF!</v>
      </c>
      <c r="M57" s="313"/>
      <c r="N57" s="313" t="e">
        <f>#REF!+#REF!+#REF!+N52</f>
        <v>#REF!</v>
      </c>
      <c r="O57" s="313"/>
      <c r="P57" s="313" t="e">
        <f>#REF!+#REF!+#REF!+P52</f>
        <v>#REF!</v>
      </c>
      <c r="Q57" s="313"/>
      <c r="R57" s="313" t="e">
        <f>#REF!+#REF!+#REF!+R52</f>
        <v>#REF!</v>
      </c>
      <c r="S57" s="313"/>
      <c r="T57" s="313" t="e">
        <f>#REF!+#REF!+#REF!+T52</f>
        <v>#REF!</v>
      </c>
      <c r="U57" s="313"/>
      <c r="V57" s="313" t="e">
        <f>#REF!+#REF!+#REF!+V52</f>
        <v>#REF!</v>
      </c>
      <c r="W57" s="313"/>
      <c r="X57" s="313" t="e">
        <f>#REF!+#REF!+#REF!+X52</f>
        <v>#REF!</v>
      </c>
      <c r="Y57" s="313"/>
      <c r="Z57" s="313" t="e">
        <f>#REF!+#REF!+#REF!+Z52</f>
        <v>#REF!</v>
      </c>
      <c r="AA57" s="313"/>
      <c r="AB57" s="312" t="e">
        <f>#REF!+#REF!+#REF!+AB52</f>
        <v>#REF!</v>
      </c>
      <c r="AC57" s="312"/>
      <c r="AD57" s="313" t="e">
        <f>#REF!+#REF!+#REF!+AD52</f>
        <v>#REF!</v>
      </c>
      <c r="AE57" s="313"/>
      <c r="AF57" s="313" t="e">
        <f>#REF!+#REF!+#REF!+AF52</f>
        <v>#REF!</v>
      </c>
      <c r="AG57" s="313"/>
      <c r="AH57" s="313" t="e">
        <f>#REF!+#REF!+#REF!+AH52</f>
        <v>#REF!</v>
      </c>
      <c r="AI57" s="313"/>
      <c r="AJ57" s="313" t="e">
        <f>#REF!+#REF!+#REF!+AJ52</f>
        <v>#REF!</v>
      </c>
      <c r="AK57" s="313"/>
      <c r="AL57" s="313" t="e">
        <f>#REF!+#REF!+#REF!+AL52</f>
        <v>#REF!</v>
      </c>
      <c r="AM57" s="313"/>
      <c r="AN57" s="313" t="e">
        <f>#REF!+#REF!+#REF!+AN52</f>
        <v>#REF!</v>
      </c>
      <c r="AO57" s="313"/>
      <c r="AP57" s="313" t="e">
        <f>#REF!+#REF!+#REF!+AP52</f>
        <v>#REF!</v>
      </c>
      <c r="AQ57" s="313"/>
      <c r="AR57" s="313" t="e">
        <f>#REF!+#REF!+#REF!+AR52</f>
        <v>#REF!</v>
      </c>
      <c r="AS57" s="313"/>
      <c r="AT57" s="313"/>
      <c r="AU57" s="314"/>
    </row>
    <row r="58" spans="1:47" ht="22.5" customHeight="1" hidden="1">
      <c r="A58" s="926"/>
      <c r="B58" s="926"/>
      <c r="C58" s="315"/>
      <c r="D58" s="316"/>
      <c r="E58" s="316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17"/>
      <c r="AG58" s="317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9"/>
      <c r="AS58" s="319"/>
      <c r="AT58" s="319"/>
      <c r="AU58" s="320"/>
    </row>
    <row r="59" spans="1:47" ht="36" customHeight="1" hidden="1">
      <c r="A59" s="321"/>
      <c r="B59" s="321"/>
      <c r="C59" s="322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18"/>
      <c r="AI59" s="318"/>
      <c r="AJ59" s="318"/>
      <c r="AK59" s="318"/>
      <c r="AL59" s="318"/>
      <c r="AM59" s="318"/>
      <c r="AN59" s="318"/>
      <c r="AO59" s="318"/>
      <c r="AP59" s="318"/>
      <c r="AQ59" s="318"/>
      <c r="AR59" s="319"/>
      <c r="AS59" s="319"/>
      <c r="AT59" s="319"/>
      <c r="AU59" s="320"/>
    </row>
    <row r="60" spans="6:13" ht="25.5" customHeight="1" hidden="1">
      <c r="F60" s="323"/>
      <c r="G60" s="323"/>
      <c r="H60" s="927"/>
      <c r="I60" s="927"/>
      <c r="J60" s="927"/>
      <c r="K60" s="927"/>
      <c r="L60" s="927"/>
      <c r="M60" s="324"/>
    </row>
    <row r="61" spans="2:27" ht="15.75" customHeight="1" hidden="1">
      <c r="B61" s="928" t="s">
        <v>212</v>
      </c>
      <c r="C61" s="929"/>
      <c r="D61" s="928" t="s">
        <v>213</v>
      </c>
      <c r="E61" s="932"/>
      <c r="F61" s="933"/>
      <c r="G61" s="325"/>
      <c r="H61" s="928" t="s">
        <v>214</v>
      </c>
      <c r="I61" s="932"/>
      <c r="J61" s="937"/>
      <c r="K61" s="937"/>
      <c r="L61" s="933"/>
      <c r="M61" s="326"/>
      <c r="N61" s="917" t="s">
        <v>215</v>
      </c>
      <c r="O61" s="917"/>
      <c r="P61" s="917"/>
      <c r="Q61" s="917"/>
      <c r="R61" s="917"/>
      <c r="S61" s="327"/>
      <c r="T61" s="917" t="s">
        <v>216</v>
      </c>
      <c r="U61" s="917"/>
      <c r="V61" s="917"/>
      <c r="W61" s="917"/>
      <c r="X61" s="917"/>
      <c r="Y61" s="917"/>
      <c r="Z61" s="917"/>
      <c r="AA61" s="328"/>
    </row>
    <row r="62" spans="2:27" ht="15" customHeight="1" hidden="1">
      <c r="B62" s="930"/>
      <c r="C62" s="931"/>
      <c r="D62" s="934"/>
      <c r="E62" s="935"/>
      <c r="F62" s="936"/>
      <c r="G62" s="329"/>
      <c r="H62" s="934"/>
      <c r="I62" s="935"/>
      <c r="J62" s="935"/>
      <c r="K62" s="935"/>
      <c r="L62" s="936"/>
      <c r="M62" s="330"/>
      <c r="N62" s="917"/>
      <c r="O62" s="917"/>
      <c r="P62" s="917"/>
      <c r="Q62" s="917"/>
      <c r="R62" s="917"/>
      <c r="S62" s="327"/>
      <c r="T62" s="917"/>
      <c r="U62" s="917"/>
      <c r="V62" s="917"/>
      <c r="W62" s="917"/>
      <c r="X62" s="917"/>
      <c r="Y62" s="917"/>
      <c r="Z62" s="917"/>
      <c r="AA62" s="328"/>
    </row>
    <row r="63" spans="2:27" ht="36.75" customHeight="1" hidden="1">
      <c r="B63" s="918" t="s">
        <v>217</v>
      </c>
      <c r="C63" s="918"/>
      <c r="D63" s="919" t="s">
        <v>218</v>
      </c>
      <c r="E63" s="919"/>
      <c r="F63" s="919"/>
      <c r="G63" s="331"/>
      <c r="H63" s="920" t="s">
        <v>219</v>
      </c>
      <c r="I63" s="921"/>
      <c r="J63" s="921"/>
      <c r="K63" s="921"/>
      <c r="L63" s="922"/>
      <c r="M63" s="332"/>
      <c r="N63" s="920" t="s">
        <v>220</v>
      </c>
      <c r="O63" s="921"/>
      <c r="P63" s="921"/>
      <c r="Q63" s="921"/>
      <c r="R63" s="922"/>
      <c r="S63" s="332"/>
      <c r="T63" s="920" t="s">
        <v>221</v>
      </c>
      <c r="U63" s="921"/>
      <c r="V63" s="921"/>
      <c r="W63" s="921"/>
      <c r="X63" s="921"/>
      <c r="Y63" s="921"/>
      <c r="Z63" s="922"/>
      <c r="AA63" s="333"/>
    </row>
    <row r="64" spans="2:27" ht="28.5" customHeight="1" hidden="1">
      <c r="B64" s="938" t="s">
        <v>222</v>
      </c>
      <c r="C64" s="939"/>
      <c r="D64" s="920" t="s">
        <v>218</v>
      </c>
      <c r="E64" s="921"/>
      <c r="F64" s="922"/>
      <c r="G64" s="332"/>
      <c r="H64" s="920" t="s">
        <v>223</v>
      </c>
      <c r="I64" s="921"/>
      <c r="J64" s="921"/>
      <c r="K64" s="921"/>
      <c r="L64" s="922"/>
      <c r="M64" s="332"/>
      <c r="N64" s="920" t="s">
        <v>224</v>
      </c>
      <c r="O64" s="921"/>
      <c r="P64" s="921"/>
      <c r="Q64" s="921"/>
      <c r="R64" s="922"/>
      <c r="S64" s="334"/>
      <c r="T64" s="944" t="s">
        <v>225</v>
      </c>
      <c r="U64" s="945"/>
      <c r="V64" s="945"/>
      <c r="W64" s="945"/>
      <c r="X64" s="945"/>
      <c r="Y64" s="945"/>
      <c r="Z64" s="946"/>
      <c r="AA64" s="333"/>
    </row>
    <row r="65" spans="2:27" ht="35.25" customHeight="1" hidden="1">
      <c r="B65" s="940"/>
      <c r="C65" s="941"/>
      <c r="D65" s="919" t="s">
        <v>226</v>
      </c>
      <c r="E65" s="919"/>
      <c r="F65" s="919"/>
      <c r="G65" s="335"/>
      <c r="H65" s="919" t="s">
        <v>227</v>
      </c>
      <c r="I65" s="919"/>
      <c r="J65" s="919"/>
      <c r="K65" s="919"/>
      <c r="L65" s="919"/>
      <c r="M65" s="331"/>
      <c r="N65" s="920" t="s">
        <v>228</v>
      </c>
      <c r="O65" s="921"/>
      <c r="P65" s="921"/>
      <c r="Q65" s="921"/>
      <c r="R65" s="922"/>
      <c r="S65" s="333"/>
      <c r="T65" s="947"/>
      <c r="U65" s="948"/>
      <c r="V65" s="948"/>
      <c r="W65" s="948"/>
      <c r="X65" s="948"/>
      <c r="Y65" s="948"/>
      <c r="Z65" s="949"/>
      <c r="AA65" s="333"/>
    </row>
    <row r="66" spans="2:27" ht="33.75" customHeight="1" hidden="1">
      <c r="B66" s="942"/>
      <c r="C66" s="943"/>
      <c r="D66" s="919" t="s">
        <v>229</v>
      </c>
      <c r="E66" s="919"/>
      <c r="F66" s="919"/>
      <c r="G66" s="335"/>
      <c r="H66" s="919" t="s">
        <v>230</v>
      </c>
      <c r="I66" s="919"/>
      <c r="J66" s="919"/>
      <c r="K66" s="919"/>
      <c r="L66" s="919"/>
      <c r="M66" s="331"/>
      <c r="N66" s="920" t="s">
        <v>231</v>
      </c>
      <c r="O66" s="921"/>
      <c r="P66" s="921"/>
      <c r="Q66" s="921"/>
      <c r="R66" s="922"/>
      <c r="S66" s="336"/>
      <c r="T66" s="950"/>
      <c r="U66" s="951"/>
      <c r="V66" s="951"/>
      <c r="W66" s="951"/>
      <c r="X66" s="951"/>
      <c r="Y66" s="951"/>
      <c r="Z66" s="952"/>
      <c r="AA66" s="333"/>
    </row>
    <row r="67" spans="2:27" ht="48.75" customHeight="1" hidden="1">
      <c r="B67" s="918" t="s">
        <v>232</v>
      </c>
      <c r="C67" s="918"/>
      <c r="D67" s="919" t="s">
        <v>233</v>
      </c>
      <c r="E67" s="919"/>
      <c r="F67" s="919"/>
      <c r="G67" s="331"/>
      <c r="H67" s="920" t="s">
        <v>234</v>
      </c>
      <c r="I67" s="921"/>
      <c r="J67" s="921"/>
      <c r="K67" s="921"/>
      <c r="L67" s="922"/>
      <c r="M67" s="332"/>
      <c r="N67" s="920" t="s">
        <v>235</v>
      </c>
      <c r="O67" s="921"/>
      <c r="P67" s="921"/>
      <c r="Q67" s="921"/>
      <c r="R67" s="922"/>
      <c r="S67" s="337"/>
      <c r="T67" s="919" t="s">
        <v>236</v>
      </c>
      <c r="U67" s="919"/>
      <c r="V67" s="919"/>
      <c r="W67" s="919"/>
      <c r="X67" s="919"/>
      <c r="Y67" s="919"/>
      <c r="Z67" s="919"/>
      <c r="AA67" s="333"/>
    </row>
    <row r="68" spans="2:27" ht="34.5" customHeight="1" hidden="1">
      <c r="B68" s="918" t="s">
        <v>237</v>
      </c>
      <c r="C68" s="918"/>
      <c r="D68" s="919" t="s">
        <v>218</v>
      </c>
      <c r="E68" s="919"/>
      <c r="F68" s="919"/>
      <c r="G68" s="335"/>
      <c r="H68" s="919" t="s">
        <v>238</v>
      </c>
      <c r="I68" s="919"/>
      <c r="J68" s="919"/>
      <c r="K68" s="919"/>
      <c r="L68" s="919"/>
      <c r="M68" s="331"/>
      <c r="N68" s="920" t="s">
        <v>239</v>
      </c>
      <c r="O68" s="921"/>
      <c r="P68" s="921"/>
      <c r="Q68" s="921"/>
      <c r="R68" s="922"/>
      <c r="S68" s="332"/>
      <c r="T68" s="920" t="s">
        <v>221</v>
      </c>
      <c r="U68" s="921"/>
      <c r="V68" s="921"/>
      <c r="W68" s="921"/>
      <c r="X68" s="921"/>
      <c r="Y68" s="921"/>
      <c r="Z68" s="922"/>
      <c r="AA68" s="333"/>
    </row>
    <row r="69" spans="2:27" ht="51.75" customHeight="1" hidden="1">
      <c r="B69" s="938" t="s">
        <v>240</v>
      </c>
      <c r="C69" s="939"/>
      <c r="D69" s="920" t="s">
        <v>241</v>
      </c>
      <c r="E69" s="921"/>
      <c r="F69" s="922"/>
      <c r="G69" s="332"/>
      <c r="H69" s="920" t="s">
        <v>242</v>
      </c>
      <c r="I69" s="921"/>
      <c r="J69" s="921"/>
      <c r="K69" s="921"/>
      <c r="L69" s="922"/>
      <c r="M69" s="332"/>
      <c r="N69" s="920" t="s">
        <v>243</v>
      </c>
      <c r="O69" s="921"/>
      <c r="P69" s="921"/>
      <c r="Q69" s="921"/>
      <c r="R69" s="922"/>
      <c r="S69" s="332"/>
      <c r="T69" s="920" t="s">
        <v>244</v>
      </c>
      <c r="U69" s="921"/>
      <c r="V69" s="921"/>
      <c r="W69" s="921"/>
      <c r="X69" s="921"/>
      <c r="Y69" s="921"/>
      <c r="Z69" s="922"/>
      <c r="AA69" s="333"/>
    </row>
    <row r="70" spans="2:27" ht="54" customHeight="1" hidden="1">
      <c r="B70" s="938" t="s">
        <v>245</v>
      </c>
      <c r="C70" s="939"/>
      <c r="D70" s="920" t="s">
        <v>241</v>
      </c>
      <c r="E70" s="921"/>
      <c r="F70" s="922"/>
      <c r="G70" s="332"/>
      <c r="H70" s="920" t="s">
        <v>246</v>
      </c>
      <c r="I70" s="921"/>
      <c r="J70" s="921"/>
      <c r="K70" s="921"/>
      <c r="L70" s="922"/>
      <c r="M70" s="332"/>
      <c r="N70" s="920" t="s">
        <v>247</v>
      </c>
      <c r="O70" s="921"/>
      <c r="P70" s="953"/>
      <c r="Q70" s="953"/>
      <c r="R70" s="954"/>
      <c r="S70" s="338"/>
      <c r="T70" s="944" t="s">
        <v>248</v>
      </c>
      <c r="U70" s="945"/>
      <c r="V70" s="945"/>
      <c r="W70" s="945"/>
      <c r="X70" s="945"/>
      <c r="Y70" s="945"/>
      <c r="Z70" s="946"/>
      <c r="AA70" s="333"/>
    </row>
    <row r="71" spans="2:27" ht="33.75" customHeight="1" hidden="1">
      <c r="B71" s="942"/>
      <c r="C71" s="943"/>
      <c r="D71" s="920" t="s">
        <v>226</v>
      </c>
      <c r="E71" s="921"/>
      <c r="F71" s="922"/>
      <c r="G71" s="332"/>
      <c r="H71" s="920" t="s">
        <v>227</v>
      </c>
      <c r="I71" s="921"/>
      <c r="J71" s="921"/>
      <c r="K71" s="921"/>
      <c r="L71" s="922"/>
      <c r="M71" s="332"/>
      <c r="N71" s="920" t="s">
        <v>249</v>
      </c>
      <c r="O71" s="921"/>
      <c r="P71" s="921"/>
      <c r="Q71" s="921"/>
      <c r="R71" s="922"/>
      <c r="S71" s="336"/>
      <c r="T71" s="950"/>
      <c r="U71" s="951"/>
      <c r="V71" s="951"/>
      <c r="W71" s="951"/>
      <c r="X71" s="951"/>
      <c r="Y71" s="951"/>
      <c r="Z71" s="952"/>
      <c r="AA71" s="333"/>
    </row>
    <row r="72" spans="2:27" ht="80.25" customHeight="1" hidden="1">
      <c r="B72" s="955" t="s">
        <v>250</v>
      </c>
      <c r="C72" s="956"/>
      <c r="D72" s="920" t="s">
        <v>251</v>
      </c>
      <c r="E72" s="921"/>
      <c r="F72" s="922"/>
      <c r="G72" s="332"/>
      <c r="H72" s="920" t="s">
        <v>252</v>
      </c>
      <c r="I72" s="921"/>
      <c r="J72" s="921"/>
      <c r="K72" s="921"/>
      <c r="L72" s="922"/>
      <c r="M72" s="332"/>
      <c r="N72" s="920" t="s">
        <v>253</v>
      </c>
      <c r="O72" s="921"/>
      <c r="P72" s="921"/>
      <c r="Q72" s="921"/>
      <c r="R72" s="922"/>
      <c r="S72" s="332"/>
      <c r="T72" s="920" t="s">
        <v>248</v>
      </c>
      <c r="U72" s="921"/>
      <c r="V72" s="921"/>
      <c r="W72" s="921"/>
      <c r="X72" s="921"/>
      <c r="Y72" s="921"/>
      <c r="Z72" s="922"/>
      <c r="AA72" s="333"/>
    </row>
    <row r="73" spans="2:27" ht="42.75" customHeight="1" hidden="1">
      <c r="B73" s="918" t="s">
        <v>254</v>
      </c>
      <c r="C73" s="918"/>
      <c r="D73" s="920" t="s">
        <v>255</v>
      </c>
      <c r="E73" s="921"/>
      <c r="F73" s="921"/>
      <c r="G73" s="921"/>
      <c r="H73" s="921"/>
      <c r="I73" s="921"/>
      <c r="J73" s="921"/>
      <c r="K73" s="921"/>
      <c r="L73" s="921"/>
      <c r="M73" s="921"/>
      <c r="N73" s="921"/>
      <c r="O73" s="921"/>
      <c r="P73" s="921"/>
      <c r="Q73" s="921"/>
      <c r="R73" s="921"/>
      <c r="S73" s="921"/>
      <c r="T73" s="921"/>
      <c r="U73" s="921"/>
      <c r="V73" s="921"/>
      <c r="W73" s="921"/>
      <c r="X73" s="921"/>
      <c r="Y73" s="921"/>
      <c r="Z73" s="922"/>
      <c r="AA73" s="333"/>
    </row>
    <row r="74" spans="2:27" ht="102" customHeight="1" hidden="1">
      <c r="B74" s="955" t="s">
        <v>256</v>
      </c>
      <c r="C74" s="956"/>
      <c r="D74" s="920" t="s">
        <v>257</v>
      </c>
      <c r="E74" s="921"/>
      <c r="F74" s="922"/>
      <c r="G74" s="332"/>
      <c r="H74" s="957" t="s">
        <v>258</v>
      </c>
      <c r="I74" s="958"/>
      <c r="J74" s="958"/>
      <c r="K74" s="958"/>
      <c r="L74" s="959"/>
      <c r="M74" s="339"/>
      <c r="N74" s="920" t="s">
        <v>259</v>
      </c>
      <c r="O74" s="921"/>
      <c r="P74" s="921"/>
      <c r="Q74" s="921"/>
      <c r="R74" s="922"/>
      <c r="S74" s="332"/>
      <c r="T74" s="920" t="s">
        <v>248</v>
      </c>
      <c r="U74" s="921"/>
      <c r="V74" s="921"/>
      <c r="W74" s="921"/>
      <c r="X74" s="921"/>
      <c r="Y74" s="921"/>
      <c r="Z74" s="922"/>
      <c r="AA74" s="333"/>
    </row>
    <row r="75" ht="15.75">
      <c r="B75" s="340"/>
    </row>
    <row r="77" spans="2:47" ht="20.25">
      <c r="B77" s="535"/>
      <c r="C77" s="535"/>
      <c r="D77" s="535" t="s">
        <v>377</v>
      </c>
      <c r="E77" s="535"/>
      <c r="F77" s="535"/>
      <c r="G77" s="535"/>
      <c r="H77" s="535"/>
      <c r="I77" s="535"/>
      <c r="J77" s="535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 t="s">
        <v>378</v>
      </c>
      <c r="W77" s="535"/>
      <c r="X77" s="535"/>
      <c r="Y77" s="535"/>
      <c r="Z77" s="535"/>
      <c r="AA77" s="535"/>
      <c r="AB77" s="535"/>
      <c r="AC77" s="535"/>
      <c r="AD77" s="535"/>
      <c r="AE77" s="535"/>
      <c r="AF77" s="535"/>
      <c r="AG77" s="535"/>
      <c r="AH77" s="535"/>
      <c r="AI77" s="535"/>
      <c r="AJ77" s="535"/>
      <c r="AK77" s="535"/>
      <c r="AL77" s="535"/>
      <c r="AM77" s="535"/>
      <c r="AN77" s="535"/>
      <c r="AO77" s="535"/>
      <c r="AP77" s="535"/>
      <c r="AQ77" s="535"/>
      <c r="AR77" s="535"/>
      <c r="AS77" s="535"/>
      <c r="AT77" s="535"/>
      <c r="AU77" s="535"/>
    </row>
  </sheetData>
  <sheetProtection/>
  <mergeCells count="125">
    <mergeCell ref="B74:C74"/>
    <mergeCell ref="D74:F74"/>
    <mergeCell ref="H74:L74"/>
    <mergeCell ref="N74:R74"/>
    <mergeCell ref="T74:Z74"/>
    <mergeCell ref="B72:C72"/>
    <mergeCell ref="D72:F72"/>
    <mergeCell ref="H72:L72"/>
    <mergeCell ref="N72:R72"/>
    <mergeCell ref="T72:Z72"/>
    <mergeCell ref="B73:C73"/>
    <mergeCell ref="D73:Z73"/>
    <mergeCell ref="B70:C71"/>
    <mergeCell ref="D70:F70"/>
    <mergeCell ref="H70:L70"/>
    <mergeCell ref="N70:R70"/>
    <mergeCell ref="T70:Z71"/>
    <mergeCell ref="D71:F71"/>
    <mergeCell ref="H71:L71"/>
    <mergeCell ref="N71:R71"/>
    <mergeCell ref="B68:C68"/>
    <mergeCell ref="D68:F68"/>
    <mergeCell ref="H68:L68"/>
    <mergeCell ref="N68:R68"/>
    <mergeCell ref="T68:Z68"/>
    <mergeCell ref="B69:C69"/>
    <mergeCell ref="D69:F69"/>
    <mergeCell ref="H69:L69"/>
    <mergeCell ref="N69:R69"/>
    <mergeCell ref="T69:Z69"/>
    <mergeCell ref="N66:R66"/>
    <mergeCell ref="B67:C67"/>
    <mergeCell ref="D67:F67"/>
    <mergeCell ref="H67:L67"/>
    <mergeCell ref="N67:R67"/>
    <mergeCell ref="T67:Z67"/>
    <mergeCell ref="B64:C66"/>
    <mergeCell ref="D64:F64"/>
    <mergeCell ref="H64:L64"/>
    <mergeCell ref="N64:R64"/>
    <mergeCell ref="T64:Z66"/>
    <mergeCell ref="D65:F65"/>
    <mergeCell ref="H65:L65"/>
    <mergeCell ref="N65:R65"/>
    <mergeCell ref="D66:F66"/>
    <mergeCell ref="H66:L66"/>
    <mergeCell ref="N61:R62"/>
    <mergeCell ref="T61:Z62"/>
    <mergeCell ref="B63:C63"/>
    <mergeCell ref="D63:F63"/>
    <mergeCell ref="H63:L63"/>
    <mergeCell ref="N63:R63"/>
    <mergeCell ref="T63:Z63"/>
    <mergeCell ref="A57:C57"/>
    <mergeCell ref="A58:B58"/>
    <mergeCell ref="H60:L60"/>
    <mergeCell ref="B61:C62"/>
    <mergeCell ref="D61:F62"/>
    <mergeCell ref="H61:L62"/>
    <mergeCell ref="A51:D51"/>
    <mergeCell ref="A52:C52"/>
    <mergeCell ref="A53:C53"/>
    <mergeCell ref="A54:C54"/>
    <mergeCell ref="A55:C55"/>
    <mergeCell ref="A56:C56"/>
    <mergeCell ref="A42:A46"/>
    <mergeCell ref="C42:C46"/>
    <mergeCell ref="D42:D46"/>
    <mergeCell ref="AU42:AU46"/>
    <mergeCell ref="A49:D49"/>
    <mergeCell ref="A50:D50"/>
    <mergeCell ref="A31:A35"/>
    <mergeCell ref="C31:C35"/>
    <mergeCell ref="D31:D35"/>
    <mergeCell ref="AU31:AU35"/>
    <mergeCell ref="A36:A40"/>
    <mergeCell ref="C36:C40"/>
    <mergeCell ref="D36:D40"/>
    <mergeCell ref="AU36:AU40"/>
    <mergeCell ref="A21:A25"/>
    <mergeCell ref="C21:C25"/>
    <mergeCell ref="D21:D25"/>
    <mergeCell ref="AU21:AU25"/>
    <mergeCell ref="A26:A30"/>
    <mergeCell ref="C26:C30"/>
    <mergeCell ref="D26:D30"/>
    <mergeCell ref="AU26:AU30"/>
    <mergeCell ref="AU8:AU12"/>
    <mergeCell ref="A14:A18"/>
    <mergeCell ref="C14:C18"/>
    <mergeCell ref="D14:D18"/>
    <mergeCell ref="AU14:AU18"/>
    <mergeCell ref="C19:C20"/>
    <mergeCell ref="C8:C12"/>
    <mergeCell ref="D8:D12"/>
    <mergeCell ref="AS5:AT6"/>
    <mergeCell ref="AU5:AU6"/>
    <mergeCell ref="I6:J6"/>
    <mergeCell ref="K6:L6"/>
    <mergeCell ref="M6:N6"/>
    <mergeCell ref="O6:P6"/>
    <mergeCell ref="Q6:R6"/>
    <mergeCell ref="S6:T6"/>
    <mergeCell ref="U6:V6"/>
    <mergeCell ref="W6:X6"/>
    <mergeCell ref="AK6:AL6"/>
    <mergeCell ref="AM6:AN6"/>
    <mergeCell ref="AO6:AP6"/>
    <mergeCell ref="AQ6:AR6"/>
    <mergeCell ref="G5:X5"/>
    <mergeCell ref="AA5:AR5"/>
    <mergeCell ref="C2:AR2"/>
    <mergeCell ref="N3:AD3"/>
    <mergeCell ref="A5:A7"/>
    <mergeCell ref="B5:B7"/>
    <mergeCell ref="C5:C7"/>
    <mergeCell ref="D5:D7"/>
    <mergeCell ref="E5:F6"/>
    <mergeCell ref="Y6:Z6"/>
    <mergeCell ref="AA6:AB6"/>
    <mergeCell ref="AC6:AD6"/>
    <mergeCell ref="AE6:AF6"/>
    <mergeCell ref="AG6:AH6"/>
    <mergeCell ref="AI6:AJ6"/>
    <mergeCell ref="G6:H6"/>
  </mergeCells>
  <printOptions/>
  <pageMargins left="0.51" right="0.29" top="0.5905511811023623" bottom="0.3937007874015748" header="0.5118110236220472" footer="0.5118110236220472"/>
  <pageSetup horizontalDpi="600" verticalDpi="600" orientation="landscape" paperSize="9" scale="2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1">
      <selection activeCell="G20" sqref="G20"/>
    </sheetView>
  </sheetViews>
  <sheetFormatPr defaultColWidth="9.00390625" defaultRowHeight="12.75"/>
  <cols>
    <col min="2" max="3" width="18.00390625" style="0" customWidth="1"/>
    <col min="4" max="9" width="18.375" style="0" customWidth="1"/>
  </cols>
  <sheetData>
    <row r="3" spans="1:9" ht="18">
      <c r="A3" s="962" t="s">
        <v>421</v>
      </c>
      <c r="B3" s="962"/>
      <c r="C3" s="962"/>
      <c r="D3" s="962"/>
      <c r="E3" s="962"/>
      <c r="F3" s="962"/>
      <c r="G3" s="962"/>
      <c r="H3" s="962"/>
      <c r="I3" s="962"/>
    </row>
    <row r="4" spans="1:9" ht="18">
      <c r="A4" s="257"/>
      <c r="B4" s="256"/>
      <c r="C4" s="256"/>
      <c r="D4" s="256"/>
      <c r="E4" s="256"/>
      <c r="F4" s="256"/>
      <c r="G4" s="256"/>
      <c r="H4" s="256"/>
      <c r="I4" s="256"/>
    </row>
    <row r="5" spans="1:9" ht="12.75" customHeight="1">
      <c r="A5" s="963" t="s">
        <v>37</v>
      </c>
      <c r="B5" s="960" t="s">
        <v>155</v>
      </c>
      <c r="C5" s="964" t="s">
        <v>131</v>
      </c>
      <c r="D5" s="960" t="s">
        <v>147</v>
      </c>
      <c r="E5" s="960" t="s">
        <v>148</v>
      </c>
      <c r="F5" s="960" t="s">
        <v>149</v>
      </c>
      <c r="G5" s="960" t="s">
        <v>150</v>
      </c>
      <c r="H5" s="960" t="s">
        <v>151</v>
      </c>
      <c r="I5" s="963" t="s">
        <v>152</v>
      </c>
    </row>
    <row r="6" spans="1:9" ht="41.25" customHeight="1">
      <c r="A6" s="963"/>
      <c r="B6" s="960"/>
      <c r="C6" s="964"/>
      <c r="D6" s="960"/>
      <c r="E6" s="960"/>
      <c r="F6" s="960"/>
      <c r="G6" s="960"/>
      <c r="H6" s="960"/>
      <c r="I6" s="963"/>
    </row>
    <row r="7" spans="1:9" ht="15">
      <c r="A7" s="398">
        <v>1</v>
      </c>
      <c r="B7" s="399">
        <v>2</v>
      </c>
      <c r="C7" s="398">
        <v>3</v>
      </c>
      <c r="D7" s="399">
        <v>4</v>
      </c>
      <c r="E7" s="398">
        <v>5</v>
      </c>
      <c r="F7" s="399">
        <v>6</v>
      </c>
      <c r="G7" s="398">
        <v>7</v>
      </c>
      <c r="H7" s="399">
        <v>8</v>
      </c>
      <c r="I7" s="398">
        <v>9</v>
      </c>
    </row>
    <row r="8" spans="1:9" ht="18">
      <c r="A8" s="961" t="s">
        <v>154</v>
      </c>
      <c r="B8" s="961"/>
      <c r="C8" s="961"/>
      <c r="D8" s="961"/>
      <c r="E8" s="961"/>
      <c r="F8" s="961"/>
      <c r="G8" s="961"/>
      <c r="H8" s="961"/>
      <c r="I8" s="961"/>
    </row>
    <row r="9" spans="1:9" s="498" customFormat="1" ht="72.75" customHeight="1">
      <c r="A9" s="493">
        <v>1</v>
      </c>
      <c r="B9" s="494" t="s">
        <v>365</v>
      </c>
      <c r="C9" s="500">
        <v>34.1349495</v>
      </c>
      <c r="D9" s="495">
        <v>21.153</v>
      </c>
      <c r="E9" s="495">
        <v>7.5</v>
      </c>
      <c r="F9" s="495">
        <v>2.248</v>
      </c>
      <c r="G9" s="496">
        <v>2.248</v>
      </c>
      <c r="H9" s="496">
        <v>7.5</v>
      </c>
      <c r="I9" s="497" t="s">
        <v>366</v>
      </c>
    </row>
    <row r="10" spans="1:9" ht="18">
      <c r="A10" s="400"/>
      <c r="B10" s="401" t="s">
        <v>153</v>
      </c>
      <c r="C10" s="501">
        <f>C9</f>
        <v>34.1349495</v>
      </c>
      <c r="D10" s="499">
        <f>D9</f>
        <v>21.153</v>
      </c>
      <c r="E10" s="501">
        <f>E9</f>
        <v>7.5</v>
      </c>
      <c r="F10" s="501">
        <f>F9</f>
        <v>2.248</v>
      </c>
      <c r="G10" s="499">
        <f>G9</f>
        <v>2.248</v>
      </c>
      <c r="H10" s="499">
        <f>H9</f>
        <v>7.5</v>
      </c>
      <c r="I10" s="499"/>
    </row>
    <row r="12" spans="2:7" ht="20.25">
      <c r="B12" s="535" t="s">
        <v>377</v>
      </c>
      <c r="C12" s="535"/>
      <c r="D12" s="535"/>
      <c r="E12" s="535"/>
      <c r="F12" s="535" t="s">
        <v>378</v>
      </c>
      <c r="G12" s="535"/>
    </row>
  </sheetData>
  <sheetProtection/>
  <mergeCells count="11">
    <mergeCell ref="G5:G6"/>
    <mergeCell ref="H5:H6"/>
    <mergeCell ref="A8:I8"/>
    <mergeCell ref="A3:I3"/>
    <mergeCell ref="A5:A6"/>
    <mergeCell ref="B5:B6"/>
    <mergeCell ref="D5:D6"/>
    <mergeCell ref="E5:E6"/>
    <mergeCell ref="I5:I6"/>
    <mergeCell ref="F5:F6"/>
    <mergeCell ref="C5:C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38"/>
  <sheetViews>
    <sheetView view="pageBreakPreview" zoomScale="55" zoomScaleNormal="70" zoomScaleSheetLayoutView="55" zoomScalePageLayoutView="0" workbookViewId="0" topLeftCell="A1">
      <pane xSplit="7" ySplit="8" topLeftCell="H9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Q12" sqref="Q12"/>
    </sheetView>
  </sheetViews>
  <sheetFormatPr defaultColWidth="29.75390625" defaultRowHeight="92.25" customHeight="1"/>
  <cols>
    <col min="1" max="1" width="8.625" style="341" bestFit="1" customWidth="1"/>
    <col min="2" max="2" width="47.00390625" style="341" customWidth="1"/>
    <col min="3" max="3" width="10.75390625" style="341" customWidth="1"/>
    <col min="4" max="5" width="10.875" style="341" customWidth="1"/>
    <col min="6" max="13" width="11.375" style="341" customWidth="1"/>
    <col min="14" max="23" width="11.125" style="341" customWidth="1"/>
    <col min="24" max="31" width="10.875" style="341" customWidth="1"/>
    <col min="32" max="16384" width="29.75390625" style="341" customWidth="1"/>
  </cols>
  <sheetData>
    <row r="1" spans="1:20" ht="18">
      <c r="A1" s="966" t="s">
        <v>262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</row>
    <row r="2" spans="1:31" ht="18.75" customHeight="1">
      <c r="A2" s="967" t="s">
        <v>370</v>
      </c>
      <c r="B2" s="968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968"/>
      <c r="T2" s="968"/>
      <c r="U2" s="968"/>
      <c r="V2" s="968"/>
      <c r="W2" s="968"/>
      <c r="X2" s="968"/>
      <c r="Y2" s="968"/>
      <c r="Z2" s="968"/>
      <c r="AA2" s="968"/>
      <c r="AB2" s="968"/>
      <c r="AC2" s="968"/>
      <c r="AD2" s="968"/>
      <c r="AE2" s="968"/>
    </row>
    <row r="3" spans="1:31" ht="18.75" customHeight="1">
      <c r="A3" s="969" t="s">
        <v>263</v>
      </c>
      <c r="B3" s="969" t="s">
        <v>264</v>
      </c>
      <c r="C3" s="987" t="s">
        <v>308</v>
      </c>
      <c r="D3" s="970" t="s">
        <v>265</v>
      </c>
      <c r="E3" s="971"/>
      <c r="F3" s="976" t="s">
        <v>266</v>
      </c>
      <c r="G3" s="977"/>
      <c r="H3" s="977"/>
      <c r="I3" s="977"/>
      <c r="J3" s="977"/>
      <c r="K3" s="977"/>
      <c r="L3" s="977"/>
      <c r="M3" s="978"/>
      <c r="N3" s="969" t="s">
        <v>267</v>
      </c>
      <c r="O3" s="969"/>
      <c r="P3" s="969"/>
      <c r="Q3" s="969"/>
      <c r="R3" s="969"/>
      <c r="S3" s="969"/>
      <c r="T3" s="969"/>
      <c r="U3" s="969"/>
      <c r="V3" s="969"/>
      <c r="W3" s="969"/>
      <c r="X3" s="969"/>
      <c r="Y3" s="969"/>
      <c r="Z3" s="969"/>
      <c r="AA3" s="969"/>
      <c r="AB3" s="969"/>
      <c r="AC3" s="969"/>
      <c r="AD3" s="969"/>
      <c r="AE3" s="969"/>
    </row>
    <row r="4" spans="1:31" ht="18.75" customHeight="1">
      <c r="A4" s="969"/>
      <c r="B4" s="969"/>
      <c r="C4" s="988"/>
      <c r="D4" s="972"/>
      <c r="E4" s="973"/>
      <c r="F4" s="979" t="s">
        <v>268</v>
      </c>
      <c r="G4" s="980"/>
      <c r="H4" s="970" t="s">
        <v>269</v>
      </c>
      <c r="I4" s="980"/>
      <c r="J4" s="970" t="s">
        <v>270</v>
      </c>
      <c r="K4" s="980"/>
      <c r="L4" s="970" t="s">
        <v>271</v>
      </c>
      <c r="M4" s="980"/>
      <c r="N4" s="969"/>
      <c r="O4" s="969"/>
      <c r="P4" s="969"/>
      <c r="Q4" s="969"/>
      <c r="R4" s="969"/>
      <c r="S4" s="969"/>
      <c r="T4" s="969"/>
      <c r="U4" s="969"/>
      <c r="V4" s="969"/>
      <c r="W4" s="969"/>
      <c r="X4" s="969"/>
      <c r="Y4" s="969"/>
      <c r="Z4" s="969"/>
      <c r="AA4" s="969"/>
      <c r="AB4" s="969"/>
      <c r="AC4" s="969"/>
      <c r="AD4" s="969"/>
      <c r="AE4" s="969"/>
    </row>
    <row r="5" spans="1:31" ht="21" customHeight="1">
      <c r="A5" s="969"/>
      <c r="B5" s="969"/>
      <c r="C5" s="988"/>
      <c r="D5" s="972"/>
      <c r="E5" s="973"/>
      <c r="F5" s="981"/>
      <c r="G5" s="982"/>
      <c r="H5" s="985"/>
      <c r="I5" s="982"/>
      <c r="J5" s="985"/>
      <c r="K5" s="982"/>
      <c r="L5" s="985"/>
      <c r="M5" s="982"/>
      <c r="N5" s="969"/>
      <c r="O5" s="969"/>
      <c r="P5" s="969"/>
      <c r="Q5" s="969"/>
      <c r="R5" s="969"/>
      <c r="S5" s="969"/>
      <c r="T5" s="969"/>
      <c r="U5" s="969"/>
      <c r="V5" s="969"/>
      <c r="W5" s="969"/>
      <c r="X5" s="969"/>
      <c r="Y5" s="969"/>
      <c r="Z5" s="969"/>
      <c r="AA5" s="969"/>
      <c r="AB5" s="969"/>
      <c r="AC5" s="969"/>
      <c r="AD5" s="969"/>
      <c r="AE5" s="969"/>
    </row>
    <row r="6" spans="1:31" ht="18.75" customHeight="1" hidden="1">
      <c r="A6" s="969"/>
      <c r="B6" s="969"/>
      <c r="C6" s="988"/>
      <c r="D6" s="972"/>
      <c r="E6" s="973"/>
      <c r="F6" s="983"/>
      <c r="G6" s="984"/>
      <c r="H6" s="983"/>
      <c r="I6" s="984"/>
      <c r="J6" s="983"/>
      <c r="K6" s="984"/>
      <c r="L6" s="983"/>
      <c r="M6" s="984"/>
      <c r="N6" s="969" t="s">
        <v>272</v>
      </c>
      <c r="O6" s="969"/>
      <c r="P6" s="969" t="s">
        <v>272</v>
      </c>
      <c r="Q6" s="969"/>
      <c r="R6" s="969" t="s">
        <v>272</v>
      </c>
      <c r="S6" s="969"/>
      <c r="T6" s="969" t="s">
        <v>272</v>
      </c>
      <c r="U6" s="969"/>
      <c r="V6" s="342"/>
      <c r="W6" s="342"/>
      <c r="X6" s="342"/>
      <c r="Y6" s="342"/>
      <c r="Z6" s="342"/>
      <c r="AA6" s="342"/>
      <c r="AB6" s="342"/>
      <c r="AC6" s="342"/>
      <c r="AD6" s="342"/>
      <c r="AE6" s="342"/>
    </row>
    <row r="7" spans="1:31" ht="18.75" customHeight="1">
      <c r="A7" s="969"/>
      <c r="B7" s="969"/>
      <c r="C7" s="988"/>
      <c r="D7" s="974"/>
      <c r="E7" s="975"/>
      <c r="F7" s="343"/>
      <c r="G7" s="344"/>
      <c r="H7" s="343"/>
      <c r="I7" s="344"/>
      <c r="J7" s="343"/>
      <c r="K7" s="344"/>
      <c r="L7" s="343"/>
      <c r="M7" s="344"/>
      <c r="N7" s="993" t="s">
        <v>367</v>
      </c>
      <c r="O7" s="993"/>
      <c r="P7" s="993" t="s">
        <v>368</v>
      </c>
      <c r="Q7" s="993"/>
      <c r="R7" s="993" t="s">
        <v>369</v>
      </c>
      <c r="S7" s="993"/>
      <c r="T7" s="965">
        <v>4</v>
      </c>
      <c r="U7" s="965"/>
      <c r="V7" s="990">
        <v>5</v>
      </c>
      <c r="W7" s="990"/>
      <c r="X7" s="991">
        <v>6</v>
      </c>
      <c r="Y7" s="991"/>
      <c r="Z7" s="991">
        <v>7</v>
      </c>
      <c r="AA7" s="991"/>
      <c r="AB7" s="991">
        <v>8</v>
      </c>
      <c r="AC7" s="991"/>
      <c r="AD7" s="991">
        <v>9</v>
      </c>
      <c r="AE7" s="991"/>
    </row>
    <row r="8" spans="1:31" ht="56.25">
      <c r="A8" s="969"/>
      <c r="B8" s="969"/>
      <c r="C8" s="989"/>
      <c r="D8" s="345" t="s">
        <v>273</v>
      </c>
      <c r="E8" s="345" t="s">
        <v>274</v>
      </c>
      <c r="F8" s="345" t="s">
        <v>273</v>
      </c>
      <c r="G8" s="345" t="s">
        <v>274</v>
      </c>
      <c r="H8" s="345" t="s">
        <v>273</v>
      </c>
      <c r="I8" s="345" t="s">
        <v>274</v>
      </c>
      <c r="J8" s="345" t="s">
        <v>273</v>
      </c>
      <c r="K8" s="345" t="s">
        <v>274</v>
      </c>
      <c r="L8" s="345" t="s">
        <v>273</v>
      </c>
      <c r="M8" s="345" t="s">
        <v>274</v>
      </c>
      <c r="N8" s="345" t="s">
        <v>273</v>
      </c>
      <c r="O8" s="345" t="s">
        <v>274</v>
      </c>
      <c r="P8" s="345" t="s">
        <v>273</v>
      </c>
      <c r="Q8" s="345" t="s">
        <v>274</v>
      </c>
      <c r="R8" s="345" t="s">
        <v>273</v>
      </c>
      <c r="S8" s="345" t="s">
        <v>274</v>
      </c>
      <c r="T8" s="345" t="s">
        <v>273</v>
      </c>
      <c r="U8" s="345" t="s">
        <v>274</v>
      </c>
      <c r="V8" s="345" t="s">
        <v>273</v>
      </c>
      <c r="W8" s="345" t="s">
        <v>274</v>
      </c>
      <c r="X8" s="345" t="s">
        <v>273</v>
      </c>
      <c r="Y8" s="345" t="s">
        <v>274</v>
      </c>
      <c r="Z8" s="345" t="s">
        <v>273</v>
      </c>
      <c r="AA8" s="345" t="s">
        <v>274</v>
      </c>
      <c r="AB8" s="345" t="s">
        <v>273</v>
      </c>
      <c r="AC8" s="345" t="s">
        <v>274</v>
      </c>
      <c r="AD8" s="345" t="s">
        <v>273</v>
      </c>
      <c r="AE8" s="345" t="s">
        <v>274</v>
      </c>
    </row>
    <row r="9" spans="1:31" ht="18.75">
      <c r="A9" s="346">
        <v>1</v>
      </c>
      <c r="B9" s="347" t="s">
        <v>275</v>
      </c>
      <c r="C9" s="347">
        <v>28</v>
      </c>
      <c r="D9" s="348">
        <f>F9+N9+P9+R9+T9+V9+X9+Z9+AB9+AD9</f>
        <v>28</v>
      </c>
      <c r="E9" s="348">
        <f>G9+O9+Q9+S9+U9+W9+Y9+AA9+AC9+AE9</f>
        <v>27</v>
      </c>
      <c r="F9" s="348">
        <f>H9+J9+L9</f>
        <v>10</v>
      </c>
      <c r="G9" s="348">
        <f>I9+K9+M9</f>
        <v>9</v>
      </c>
      <c r="H9" s="349">
        <v>5</v>
      </c>
      <c r="I9" s="349">
        <v>4</v>
      </c>
      <c r="J9" s="349">
        <v>3</v>
      </c>
      <c r="K9" s="349">
        <v>3</v>
      </c>
      <c r="L9" s="349">
        <v>2</v>
      </c>
      <c r="M9" s="349">
        <v>2</v>
      </c>
      <c r="N9" s="349">
        <v>9</v>
      </c>
      <c r="O9" s="349">
        <v>9</v>
      </c>
      <c r="P9" s="349">
        <v>3</v>
      </c>
      <c r="Q9" s="349">
        <v>3</v>
      </c>
      <c r="R9" s="349">
        <v>6</v>
      </c>
      <c r="S9" s="349">
        <v>6</v>
      </c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</row>
    <row r="10" spans="1:31" ht="37.5">
      <c r="A10" s="346">
        <v>2</v>
      </c>
      <c r="B10" s="347" t="s">
        <v>276</v>
      </c>
      <c r="C10" s="347">
        <v>24</v>
      </c>
      <c r="D10" s="348">
        <f aca="true" t="shared" si="0" ref="D10:E29">F10+N10+P10+R10+T10+V10+X10+Z10+AB10+AD10</f>
        <v>24</v>
      </c>
      <c r="E10" s="348">
        <f>G10+O10+Q10+S10+U10+W10+Y10+AA10+AC10+AE10</f>
        <v>23</v>
      </c>
      <c r="F10" s="348">
        <f>H10+J10+L10</f>
        <v>11</v>
      </c>
      <c r="G10" s="348">
        <f>I10+K10+M10</f>
        <v>10</v>
      </c>
      <c r="H10" s="349">
        <v>4</v>
      </c>
      <c r="I10" s="349">
        <v>3</v>
      </c>
      <c r="J10" s="349">
        <v>1</v>
      </c>
      <c r="K10" s="349">
        <v>1</v>
      </c>
      <c r="L10" s="349">
        <v>6</v>
      </c>
      <c r="M10" s="349">
        <v>6</v>
      </c>
      <c r="N10" s="349"/>
      <c r="O10" s="349"/>
      <c r="P10" s="349">
        <v>7</v>
      </c>
      <c r="Q10" s="349">
        <v>7</v>
      </c>
      <c r="R10" s="349">
        <v>6</v>
      </c>
      <c r="S10" s="349">
        <v>6</v>
      </c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</row>
    <row r="11" spans="1:31" ht="18.75">
      <c r="A11" s="346">
        <v>3</v>
      </c>
      <c r="B11" s="347" t="s">
        <v>277</v>
      </c>
      <c r="C11" s="347">
        <v>5</v>
      </c>
      <c r="D11" s="348">
        <f t="shared" si="0"/>
        <v>5</v>
      </c>
      <c r="E11" s="348">
        <f t="shared" si="0"/>
        <v>5</v>
      </c>
      <c r="F11" s="348">
        <f aca="true" t="shared" si="1" ref="F11:G29">H11+J11+L11</f>
        <v>1</v>
      </c>
      <c r="G11" s="348">
        <f t="shared" si="1"/>
        <v>1</v>
      </c>
      <c r="H11" s="349"/>
      <c r="I11" s="349"/>
      <c r="J11" s="349">
        <v>1</v>
      </c>
      <c r="K11" s="349">
        <v>1</v>
      </c>
      <c r="L11" s="349"/>
      <c r="M11" s="349"/>
      <c r="N11" s="349"/>
      <c r="O11" s="349"/>
      <c r="P11" s="349"/>
      <c r="Q11" s="349"/>
      <c r="R11" s="349">
        <v>4</v>
      </c>
      <c r="S11" s="349">
        <v>4</v>
      </c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</row>
    <row r="12" spans="1:31" ht="18.75">
      <c r="A12" s="346">
        <v>4</v>
      </c>
      <c r="B12" s="347" t="s">
        <v>278</v>
      </c>
      <c r="C12" s="347">
        <v>83</v>
      </c>
      <c r="D12" s="348">
        <f t="shared" si="0"/>
        <v>83</v>
      </c>
      <c r="E12" s="348">
        <f t="shared" si="0"/>
        <v>81</v>
      </c>
      <c r="F12" s="348">
        <f>H12+J12+L12</f>
        <v>28</v>
      </c>
      <c r="G12" s="348">
        <f t="shared" si="1"/>
        <v>26</v>
      </c>
      <c r="H12" s="349">
        <v>5</v>
      </c>
      <c r="I12" s="349">
        <v>4</v>
      </c>
      <c r="J12" s="349">
        <v>7</v>
      </c>
      <c r="K12" s="349">
        <v>7</v>
      </c>
      <c r="L12" s="349">
        <v>16</v>
      </c>
      <c r="M12" s="349">
        <v>15</v>
      </c>
      <c r="N12" s="349">
        <v>11</v>
      </c>
      <c r="O12" s="349">
        <v>11</v>
      </c>
      <c r="P12" s="349">
        <v>20</v>
      </c>
      <c r="Q12" s="349">
        <v>20</v>
      </c>
      <c r="R12" s="349">
        <v>24</v>
      </c>
      <c r="S12" s="349">
        <v>24</v>
      </c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</row>
    <row r="13" spans="1:31" ht="18.75">
      <c r="A13" s="346">
        <v>5</v>
      </c>
      <c r="B13" s="347" t="s">
        <v>279</v>
      </c>
      <c r="C13" s="347">
        <v>19</v>
      </c>
      <c r="D13" s="348">
        <f t="shared" si="0"/>
        <v>19</v>
      </c>
      <c r="E13" s="348">
        <f t="shared" si="0"/>
        <v>16</v>
      </c>
      <c r="F13" s="348">
        <f>H13+J13+L13</f>
        <v>8</v>
      </c>
      <c r="G13" s="348">
        <f t="shared" si="1"/>
        <v>5</v>
      </c>
      <c r="H13" s="349">
        <v>4</v>
      </c>
      <c r="I13" s="349">
        <v>2</v>
      </c>
      <c r="J13" s="349">
        <v>1</v>
      </c>
      <c r="K13" s="349">
        <v>1</v>
      </c>
      <c r="L13" s="349">
        <v>3</v>
      </c>
      <c r="M13" s="349">
        <v>2</v>
      </c>
      <c r="N13" s="349">
        <v>4</v>
      </c>
      <c r="O13" s="349">
        <v>4</v>
      </c>
      <c r="P13" s="349">
        <v>3</v>
      </c>
      <c r="Q13" s="349">
        <v>3</v>
      </c>
      <c r="R13" s="349">
        <v>4</v>
      </c>
      <c r="S13" s="349">
        <v>4</v>
      </c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</row>
    <row r="14" spans="1:31" ht="18.75">
      <c r="A14" s="350">
        <v>6</v>
      </c>
      <c r="B14" s="351" t="s">
        <v>280</v>
      </c>
      <c r="C14" s="351">
        <f>C15+C16</f>
        <v>119</v>
      </c>
      <c r="D14" s="348">
        <f t="shared" si="0"/>
        <v>119</v>
      </c>
      <c r="E14" s="348">
        <f t="shared" si="0"/>
        <v>104</v>
      </c>
      <c r="F14" s="348">
        <f t="shared" si="1"/>
        <v>39</v>
      </c>
      <c r="G14" s="348">
        <f t="shared" si="1"/>
        <v>32</v>
      </c>
      <c r="H14" s="352">
        <f aca="true" t="shared" si="2" ref="H14:AE14">H15+H16</f>
        <v>0</v>
      </c>
      <c r="I14" s="352">
        <f t="shared" si="2"/>
        <v>0</v>
      </c>
      <c r="J14" s="353">
        <f>J15+J16</f>
        <v>1</v>
      </c>
      <c r="K14" s="353">
        <f>K15+K16</f>
        <v>1</v>
      </c>
      <c r="L14" s="352">
        <f>L15+L16</f>
        <v>38</v>
      </c>
      <c r="M14" s="352">
        <f>M15+M16</f>
        <v>31</v>
      </c>
      <c r="N14" s="352">
        <f t="shared" si="2"/>
        <v>18</v>
      </c>
      <c r="O14" s="352">
        <f t="shared" si="2"/>
        <v>15</v>
      </c>
      <c r="P14" s="352">
        <f t="shared" si="2"/>
        <v>38</v>
      </c>
      <c r="Q14" s="352">
        <f t="shared" si="2"/>
        <v>35</v>
      </c>
      <c r="R14" s="352">
        <f t="shared" si="2"/>
        <v>24</v>
      </c>
      <c r="S14" s="352">
        <f t="shared" si="2"/>
        <v>22</v>
      </c>
      <c r="T14" s="352">
        <f t="shared" si="2"/>
        <v>0</v>
      </c>
      <c r="U14" s="352">
        <f t="shared" si="2"/>
        <v>0</v>
      </c>
      <c r="V14" s="352">
        <f t="shared" si="2"/>
        <v>0</v>
      </c>
      <c r="W14" s="352">
        <f t="shared" si="2"/>
        <v>0</v>
      </c>
      <c r="X14" s="352">
        <f t="shared" si="2"/>
        <v>0</v>
      </c>
      <c r="Y14" s="352">
        <f t="shared" si="2"/>
        <v>0</v>
      </c>
      <c r="Z14" s="352">
        <f t="shared" si="2"/>
        <v>0</v>
      </c>
      <c r="AA14" s="352">
        <f t="shared" si="2"/>
        <v>0</v>
      </c>
      <c r="AB14" s="352">
        <f t="shared" si="2"/>
        <v>0</v>
      </c>
      <c r="AC14" s="352">
        <f t="shared" si="2"/>
        <v>0</v>
      </c>
      <c r="AD14" s="352">
        <f t="shared" si="2"/>
        <v>0</v>
      </c>
      <c r="AE14" s="352">
        <f t="shared" si="2"/>
        <v>0</v>
      </c>
    </row>
    <row r="15" spans="1:31" ht="19.5">
      <c r="A15" s="350" t="s">
        <v>281</v>
      </c>
      <c r="B15" s="354" t="s">
        <v>282</v>
      </c>
      <c r="C15" s="354">
        <v>119</v>
      </c>
      <c r="D15" s="348">
        <f t="shared" si="0"/>
        <v>119</v>
      </c>
      <c r="E15" s="348">
        <f t="shared" si="0"/>
        <v>104</v>
      </c>
      <c r="F15" s="348">
        <f t="shared" si="1"/>
        <v>39</v>
      </c>
      <c r="G15" s="348">
        <f t="shared" si="1"/>
        <v>32</v>
      </c>
      <c r="H15" s="349"/>
      <c r="I15" s="349"/>
      <c r="J15" s="349">
        <v>1</v>
      </c>
      <c r="K15" s="349">
        <v>1</v>
      </c>
      <c r="L15" s="349">
        <v>38</v>
      </c>
      <c r="M15" s="349">
        <v>31</v>
      </c>
      <c r="N15" s="349">
        <v>18</v>
      </c>
      <c r="O15" s="349">
        <v>15</v>
      </c>
      <c r="P15" s="349">
        <v>38</v>
      </c>
      <c r="Q15" s="349">
        <v>35</v>
      </c>
      <c r="R15" s="349">
        <v>24</v>
      </c>
      <c r="S15" s="349">
        <v>22</v>
      </c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</row>
    <row r="16" spans="1:31" ht="19.5">
      <c r="A16" s="350" t="s">
        <v>283</v>
      </c>
      <c r="B16" s="354" t="s">
        <v>284</v>
      </c>
      <c r="C16" s="354">
        <v>0</v>
      </c>
      <c r="D16" s="348">
        <f t="shared" si="0"/>
        <v>0</v>
      </c>
      <c r="E16" s="348">
        <f t="shared" si="0"/>
        <v>0</v>
      </c>
      <c r="F16" s="348">
        <f t="shared" si="1"/>
        <v>0</v>
      </c>
      <c r="G16" s="348">
        <f t="shared" si="1"/>
        <v>0</v>
      </c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</row>
    <row r="17" spans="1:31" ht="18.75">
      <c r="A17" s="350">
        <v>7</v>
      </c>
      <c r="B17" s="351" t="s">
        <v>285</v>
      </c>
      <c r="C17" s="351">
        <f>C18+C19+C20+C21+C22+C23+C24</f>
        <v>53</v>
      </c>
      <c r="D17" s="348">
        <f>F17+N17+P17+R17+T17+V17+X17+Z17+AB17+AD17</f>
        <v>53</v>
      </c>
      <c r="E17" s="348">
        <f t="shared" si="0"/>
        <v>53</v>
      </c>
      <c r="F17" s="348">
        <f t="shared" si="1"/>
        <v>20</v>
      </c>
      <c r="G17" s="348">
        <f t="shared" si="1"/>
        <v>20</v>
      </c>
      <c r="H17" s="353">
        <f>H18+H19+H20+H21+H22+H23+H24</f>
        <v>2</v>
      </c>
      <c r="I17" s="353">
        <f>I18+I19+I20+I21+I22+I23+I24</f>
        <v>2</v>
      </c>
      <c r="J17" s="352">
        <f aca="true" t="shared" si="3" ref="J17:AE17">J18+J19+J20+J21+J22+J23+J24</f>
        <v>3</v>
      </c>
      <c r="K17" s="353">
        <f>K18+K19+K20+K21+K22+K23+K24</f>
        <v>3</v>
      </c>
      <c r="L17" s="352">
        <f t="shared" si="3"/>
        <v>15</v>
      </c>
      <c r="M17" s="352">
        <f t="shared" si="3"/>
        <v>15</v>
      </c>
      <c r="N17" s="352">
        <f t="shared" si="3"/>
        <v>3</v>
      </c>
      <c r="O17" s="352">
        <f t="shared" si="3"/>
        <v>3</v>
      </c>
      <c r="P17" s="352">
        <f t="shared" si="3"/>
        <v>10</v>
      </c>
      <c r="Q17" s="352">
        <f t="shared" si="3"/>
        <v>10</v>
      </c>
      <c r="R17" s="352">
        <f t="shared" si="3"/>
        <v>20</v>
      </c>
      <c r="S17" s="352">
        <f t="shared" si="3"/>
        <v>20</v>
      </c>
      <c r="T17" s="352">
        <f t="shared" si="3"/>
        <v>0</v>
      </c>
      <c r="U17" s="352">
        <f t="shared" si="3"/>
        <v>0</v>
      </c>
      <c r="V17" s="352">
        <f t="shared" si="3"/>
        <v>0</v>
      </c>
      <c r="W17" s="352">
        <f t="shared" si="3"/>
        <v>0</v>
      </c>
      <c r="X17" s="352">
        <f t="shared" si="3"/>
        <v>0</v>
      </c>
      <c r="Y17" s="352">
        <f t="shared" si="3"/>
        <v>0</v>
      </c>
      <c r="Z17" s="352">
        <f t="shared" si="3"/>
        <v>0</v>
      </c>
      <c r="AA17" s="352">
        <f t="shared" si="3"/>
        <v>0</v>
      </c>
      <c r="AB17" s="352">
        <f t="shared" si="3"/>
        <v>0</v>
      </c>
      <c r="AC17" s="352">
        <f t="shared" si="3"/>
        <v>0</v>
      </c>
      <c r="AD17" s="352">
        <f t="shared" si="3"/>
        <v>0</v>
      </c>
      <c r="AE17" s="352">
        <f t="shared" si="3"/>
        <v>0</v>
      </c>
    </row>
    <row r="18" spans="1:31" ht="19.5">
      <c r="A18" s="346" t="s">
        <v>286</v>
      </c>
      <c r="B18" s="355" t="s">
        <v>287</v>
      </c>
      <c r="C18" s="355">
        <v>2</v>
      </c>
      <c r="D18" s="348">
        <f t="shared" si="0"/>
        <v>2</v>
      </c>
      <c r="E18" s="348">
        <f t="shared" si="0"/>
        <v>2</v>
      </c>
      <c r="F18" s="348">
        <f t="shared" si="1"/>
        <v>1</v>
      </c>
      <c r="G18" s="348">
        <f t="shared" si="1"/>
        <v>1</v>
      </c>
      <c r="H18" s="349"/>
      <c r="I18" s="349"/>
      <c r="J18" s="349">
        <v>1</v>
      </c>
      <c r="K18" s="349">
        <v>1</v>
      </c>
      <c r="L18" s="349"/>
      <c r="M18" s="349"/>
      <c r="N18" s="349"/>
      <c r="O18" s="349"/>
      <c r="P18" s="349"/>
      <c r="Q18" s="349"/>
      <c r="R18" s="349">
        <v>1</v>
      </c>
      <c r="S18" s="349">
        <v>1</v>
      </c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</row>
    <row r="19" spans="1:31" ht="19.5">
      <c r="A19" s="346" t="s">
        <v>288</v>
      </c>
      <c r="B19" s="355" t="s">
        <v>289</v>
      </c>
      <c r="C19" s="355">
        <v>7</v>
      </c>
      <c r="D19" s="348">
        <f t="shared" si="0"/>
        <v>7</v>
      </c>
      <c r="E19" s="348">
        <f t="shared" si="0"/>
        <v>7</v>
      </c>
      <c r="F19" s="348">
        <f t="shared" si="1"/>
        <v>1</v>
      </c>
      <c r="G19" s="348">
        <f t="shared" si="1"/>
        <v>1</v>
      </c>
      <c r="H19" s="349"/>
      <c r="I19" s="349"/>
      <c r="J19" s="349">
        <v>1</v>
      </c>
      <c r="K19" s="349">
        <v>1</v>
      </c>
      <c r="L19" s="349"/>
      <c r="M19" s="349"/>
      <c r="N19" s="349">
        <v>2</v>
      </c>
      <c r="O19" s="349">
        <v>2</v>
      </c>
      <c r="P19" s="349">
        <v>1</v>
      </c>
      <c r="Q19" s="349">
        <v>1</v>
      </c>
      <c r="R19" s="349">
        <v>3</v>
      </c>
      <c r="S19" s="349">
        <v>3</v>
      </c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</row>
    <row r="20" spans="1:31" ht="19.5">
      <c r="A20" s="346" t="s">
        <v>290</v>
      </c>
      <c r="B20" s="355" t="s">
        <v>291</v>
      </c>
      <c r="C20" s="355">
        <v>9</v>
      </c>
      <c r="D20" s="348">
        <f t="shared" si="0"/>
        <v>9</v>
      </c>
      <c r="E20" s="348">
        <f t="shared" si="0"/>
        <v>9</v>
      </c>
      <c r="F20" s="348">
        <f t="shared" si="1"/>
        <v>4</v>
      </c>
      <c r="G20" s="348">
        <f t="shared" si="1"/>
        <v>4</v>
      </c>
      <c r="H20" s="349"/>
      <c r="I20" s="349"/>
      <c r="J20" s="349"/>
      <c r="K20" s="349"/>
      <c r="L20" s="349">
        <v>4</v>
      </c>
      <c r="M20" s="349">
        <v>4</v>
      </c>
      <c r="N20" s="349"/>
      <c r="O20" s="349"/>
      <c r="P20" s="349">
        <v>3</v>
      </c>
      <c r="Q20" s="349">
        <v>3</v>
      </c>
      <c r="R20" s="349">
        <v>2</v>
      </c>
      <c r="S20" s="349">
        <v>2</v>
      </c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</row>
    <row r="21" spans="1:31" ht="19.5">
      <c r="A21" s="346" t="s">
        <v>292</v>
      </c>
      <c r="B21" s="355" t="s">
        <v>293</v>
      </c>
      <c r="C21" s="355">
        <v>7</v>
      </c>
      <c r="D21" s="348">
        <f t="shared" si="0"/>
        <v>7</v>
      </c>
      <c r="E21" s="348">
        <f t="shared" si="0"/>
        <v>7</v>
      </c>
      <c r="F21" s="348">
        <f t="shared" si="1"/>
        <v>4</v>
      </c>
      <c r="G21" s="348">
        <f t="shared" si="1"/>
        <v>4</v>
      </c>
      <c r="H21" s="349"/>
      <c r="I21" s="349"/>
      <c r="J21" s="349"/>
      <c r="K21" s="349"/>
      <c r="L21" s="349">
        <v>4</v>
      </c>
      <c r="M21" s="349">
        <v>4</v>
      </c>
      <c r="N21" s="349"/>
      <c r="O21" s="349"/>
      <c r="P21" s="349">
        <v>2</v>
      </c>
      <c r="Q21" s="349">
        <v>2</v>
      </c>
      <c r="R21" s="349">
        <v>1</v>
      </c>
      <c r="S21" s="349">
        <v>1</v>
      </c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</row>
    <row r="22" spans="1:31" ht="19.5">
      <c r="A22" s="346" t="s">
        <v>294</v>
      </c>
      <c r="B22" s="355" t="s">
        <v>295</v>
      </c>
      <c r="C22" s="355">
        <v>15</v>
      </c>
      <c r="D22" s="348">
        <f t="shared" si="0"/>
        <v>15</v>
      </c>
      <c r="E22" s="348">
        <f t="shared" si="0"/>
        <v>15</v>
      </c>
      <c r="F22" s="348">
        <f t="shared" si="1"/>
        <v>5</v>
      </c>
      <c r="G22" s="348">
        <f t="shared" si="1"/>
        <v>5</v>
      </c>
      <c r="H22" s="349"/>
      <c r="I22" s="349"/>
      <c r="J22" s="349"/>
      <c r="K22" s="349"/>
      <c r="L22" s="349">
        <v>5</v>
      </c>
      <c r="M22" s="349">
        <v>5</v>
      </c>
      <c r="N22" s="349"/>
      <c r="O22" s="349"/>
      <c r="P22" s="349">
        <v>2</v>
      </c>
      <c r="Q22" s="349">
        <v>2</v>
      </c>
      <c r="R22" s="349">
        <v>8</v>
      </c>
      <c r="S22" s="349">
        <v>8</v>
      </c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</row>
    <row r="23" spans="1:31" ht="19.5">
      <c r="A23" s="346" t="s">
        <v>296</v>
      </c>
      <c r="B23" s="355" t="s">
        <v>297</v>
      </c>
      <c r="C23" s="355">
        <v>6</v>
      </c>
      <c r="D23" s="348">
        <f t="shared" si="0"/>
        <v>6</v>
      </c>
      <c r="E23" s="348">
        <f t="shared" si="0"/>
        <v>6</v>
      </c>
      <c r="F23" s="348">
        <f t="shared" si="1"/>
        <v>3</v>
      </c>
      <c r="G23" s="348">
        <f t="shared" si="1"/>
        <v>3</v>
      </c>
      <c r="H23" s="349">
        <v>1</v>
      </c>
      <c r="I23" s="349">
        <v>1</v>
      </c>
      <c r="J23" s="349">
        <v>1</v>
      </c>
      <c r="K23" s="349">
        <v>1</v>
      </c>
      <c r="L23" s="349">
        <v>1</v>
      </c>
      <c r="M23" s="349">
        <v>1</v>
      </c>
      <c r="N23" s="349"/>
      <c r="O23" s="349"/>
      <c r="P23" s="349">
        <v>1</v>
      </c>
      <c r="Q23" s="349">
        <v>1</v>
      </c>
      <c r="R23" s="349">
        <v>2</v>
      </c>
      <c r="S23" s="349">
        <v>2</v>
      </c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</row>
    <row r="24" spans="1:31" ht="19.5">
      <c r="A24" s="346" t="s">
        <v>298</v>
      </c>
      <c r="B24" s="355" t="s">
        <v>299</v>
      </c>
      <c r="C24" s="355">
        <v>7</v>
      </c>
      <c r="D24" s="348">
        <f t="shared" si="0"/>
        <v>7</v>
      </c>
      <c r="E24" s="348">
        <f t="shared" si="0"/>
        <v>7</v>
      </c>
      <c r="F24" s="348">
        <f t="shared" si="1"/>
        <v>2</v>
      </c>
      <c r="G24" s="348">
        <f t="shared" si="1"/>
        <v>2</v>
      </c>
      <c r="H24" s="349">
        <v>1</v>
      </c>
      <c r="I24" s="349">
        <v>1</v>
      </c>
      <c r="J24" s="349"/>
      <c r="K24" s="349"/>
      <c r="L24" s="349">
        <v>1</v>
      </c>
      <c r="M24" s="349">
        <v>1</v>
      </c>
      <c r="N24" s="349">
        <v>1</v>
      </c>
      <c r="O24" s="349">
        <v>1</v>
      </c>
      <c r="P24" s="349">
        <v>1</v>
      </c>
      <c r="Q24" s="349">
        <v>1</v>
      </c>
      <c r="R24" s="349">
        <v>3</v>
      </c>
      <c r="S24" s="349">
        <v>3</v>
      </c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</row>
    <row r="25" spans="1:31" ht="19.5">
      <c r="A25" s="346">
        <v>8</v>
      </c>
      <c r="B25" s="355" t="s">
        <v>300</v>
      </c>
      <c r="C25" s="355">
        <v>163</v>
      </c>
      <c r="D25" s="348">
        <f t="shared" si="0"/>
        <v>163</v>
      </c>
      <c r="E25" s="348">
        <f t="shared" si="0"/>
        <v>150</v>
      </c>
      <c r="F25" s="348">
        <f t="shared" si="1"/>
        <v>59</v>
      </c>
      <c r="G25" s="348">
        <f t="shared" si="1"/>
        <v>52</v>
      </c>
      <c r="H25" s="349">
        <v>5</v>
      </c>
      <c r="I25" s="349">
        <v>5</v>
      </c>
      <c r="J25" s="349">
        <v>4</v>
      </c>
      <c r="K25" s="349">
        <v>4</v>
      </c>
      <c r="L25" s="349">
        <v>50</v>
      </c>
      <c r="M25" s="349">
        <v>43</v>
      </c>
      <c r="N25" s="349">
        <v>5</v>
      </c>
      <c r="O25" s="349">
        <v>4</v>
      </c>
      <c r="P25" s="349">
        <v>39</v>
      </c>
      <c r="Q25" s="349">
        <v>35</v>
      </c>
      <c r="R25" s="349">
        <v>60</v>
      </c>
      <c r="S25" s="349">
        <v>59</v>
      </c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</row>
    <row r="26" spans="1:31" ht="18.75">
      <c r="A26" s="346">
        <v>9</v>
      </c>
      <c r="B26" s="347" t="s">
        <v>301</v>
      </c>
      <c r="C26" s="347">
        <v>44</v>
      </c>
      <c r="D26" s="348">
        <f t="shared" si="0"/>
        <v>44</v>
      </c>
      <c r="E26" s="348">
        <f t="shared" si="0"/>
        <v>44</v>
      </c>
      <c r="F26" s="348">
        <f t="shared" si="1"/>
        <v>28</v>
      </c>
      <c r="G26" s="348">
        <f t="shared" si="1"/>
        <v>28</v>
      </c>
      <c r="H26" s="349"/>
      <c r="I26" s="349"/>
      <c r="J26" s="349">
        <v>2</v>
      </c>
      <c r="K26" s="349">
        <v>2</v>
      </c>
      <c r="L26" s="349">
        <v>26</v>
      </c>
      <c r="M26" s="349">
        <v>26</v>
      </c>
      <c r="N26" s="349"/>
      <c r="O26" s="349"/>
      <c r="P26" s="349">
        <v>6</v>
      </c>
      <c r="Q26" s="349">
        <v>6</v>
      </c>
      <c r="R26" s="349">
        <v>10</v>
      </c>
      <c r="S26" s="349">
        <v>10</v>
      </c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</row>
    <row r="27" spans="1:31" ht="18.75">
      <c r="A27" s="346">
        <v>10</v>
      </c>
      <c r="B27" s="347" t="s">
        <v>302</v>
      </c>
      <c r="C27" s="347">
        <v>20</v>
      </c>
      <c r="D27" s="348">
        <f t="shared" si="0"/>
        <v>20</v>
      </c>
      <c r="E27" s="348">
        <f t="shared" si="0"/>
        <v>17</v>
      </c>
      <c r="F27" s="348">
        <f t="shared" si="1"/>
        <v>7</v>
      </c>
      <c r="G27" s="348">
        <f t="shared" si="1"/>
        <v>4</v>
      </c>
      <c r="H27" s="349"/>
      <c r="I27" s="349"/>
      <c r="J27" s="349">
        <v>2</v>
      </c>
      <c r="K27" s="349">
        <v>2</v>
      </c>
      <c r="L27" s="349">
        <v>5</v>
      </c>
      <c r="M27" s="349">
        <v>2</v>
      </c>
      <c r="N27" s="349"/>
      <c r="O27" s="349"/>
      <c r="P27" s="349">
        <v>3</v>
      </c>
      <c r="Q27" s="349">
        <v>3</v>
      </c>
      <c r="R27" s="349">
        <v>10</v>
      </c>
      <c r="S27" s="349">
        <v>10</v>
      </c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</row>
    <row r="28" spans="1:31" ht="18.75">
      <c r="A28" s="346">
        <v>11</v>
      </c>
      <c r="B28" s="347" t="s">
        <v>303</v>
      </c>
      <c r="C28" s="347"/>
      <c r="D28" s="348">
        <f t="shared" si="0"/>
        <v>24</v>
      </c>
      <c r="E28" s="348">
        <f t="shared" si="0"/>
        <v>24</v>
      </c>
      <c r="F28" s="348">
        <f t="shared" si="1"/>
        <v>21</v>
      </c>
      <c r="G28" s="348">
        <f t="shared" si="1"/>
        <v>21</v>
      </c>
      <c r="H28" s="349"/>
      <c r="I28" s="349"/>
      <c r="J28" s="349"/>
      <c r="K28" s="349"/>
      <c r="L28" s="349">
        <v>21</v>
      </c>
      <c r="M28" s="349">
        <v>21</v>
      </c>
      <c r="N28" s="349"/>
      <c r="O28" s="349"/>
      <c r="P28" s="349">
        <v>3</v>
      </c>
      <c r="Q28" s="349">
        <v>3</v>
      </c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</row>
    <row r="29" spans="1:31" ht="18.75">
      <c r="A29" s="346">
        <v>12</v>
      </c>
      <c r="B29" s="347" t="s">
        <v>304</v>
      </c>
      <c r="C29" s="347">
        <v>7</v>
      </c>
      <c r="D29" s="348">
        <f t="shared" si="0"/>
        <v>7</v>
      </c>
      <c r="E29" s="348">
        <f t="shared" si="0"/>
        <v>7</v>
      </c>
      <c r="F29" s="348">
        <f t="shared" si="1"/>
        <v>7</v>
      </c>
      <c r="G29" s="348">
        <f t="shared" si="1"/>
        <v>7</v>
      </c>
      <c r="H29" s="349"/>
      <c r="I29" s="349"/>
      <c r="J29" s="349">
        <v>7</v>
      </c>
      <c r="K29" s="349">
        <v>7</v>
      </c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</row>
    <row r="30" spans="1:31" ht="18.75">
      <c r="A30" s="346"/>
      <c r="B30" s="347" t="s">
        <v>305</v>
      </c>
      <c r="C30" s="347">
        <f>C9+C10+C11+C12+C13+C14+C17+C25+C27+C29</f>
        <v>521</v>
      </c>
      <c r="D30" s="348">
        <f>F30+N30+P30+R30+T30+V30+X30+Z30+AB30+AD30</f>
        <v>565</v>
      </c>
      <c r="E30" s="348">
        <f aca="true" t="shared" si="4" ref="D30:E32">G30+O30+Q30+S30+U30+W30+Y30+AA30+AC30+AE30</f>
        <v>527</v>
      </c>
      <c r="F30" s="348">
        <f>H30+J30+L30</f>
        <v>218</v>
      </c>
      <c r="G30" s="348">
        <f>I30+K30+M30</f>
        <v>194</v>
      </c>
      <c r="H30" s="348">
        <f>H9+H10+H11+H12+H13+H14+H17+H25+H26+H27+H29</f>
        <v>25</v>
      </c>
      <c r="I30" s="348">
        <f aca="true" t="shared" si="5" ref="I30:AE30">I9+I10+I11+I12+I13+I14+I17+I25+I26+I27+I29</f>
        <v>20</v>
      </c>
      <c r="J30" s="348">
        <f t="shared" si="5"/>
        <v>32</v>
      </c>
      <c r="K30" s="348">
        <f t="shared" si="5"/>
        <v>32</v>
      </c>
      <c r="L30" s="348">
        <f t="shared" si="5"/>
        <v>161</v>
      </c>
      <c r="M30" s="348">
        <f t="shared" si="5"/>
        <v>142</v>
      </c>
      <c r="N30" s="348">
        <f t="shared" si="5"/>
        <v>50</v>
      </c>
      <c r="O30" s="348">
        <f t="shared" si="5"/>
        <v>46</v>
      </c>
      <c r="P30" s="348">
        <f t="shared" si="5"/>
        <v>129</v>
      </c>
      <c r="Q30" s="348">
        <f t="shared" si="5"/>
        <v>122</v>
      </c>
      <c r="R30" s="348">
        <f t="shared" si="5"/>
        <v>168</v>
      </c>
      <c r="S30" s="348">
        <f t="shared" si="5"/>
        <v>165</v>
      </c>
      <c r="T30" s="348">
        <f t="shared" si="5"/>
        <v>0</v>
      </c>
      <c r="U30" s="348">
        <f t="shared" si="5"/>
        <v>0</v>
      </c>
      <c r="V30" s="348">
        <f t="shared" si="5"/>
        <v>0</v>
      </c>
      <c r="W30" s="348">
        <f t="shared" si="5"/>
        <v>0</v>
      </c>
      <c r="X30" s="348">
        <f t="shared" si="5"/>
        <v>0</v>
      </c>
      <c r="Y30" s="348">
        <f t="shared" si="5"/>
        <v>0</v>
      </c>
      <c r="Z30" s="348">
        <f t="shared" si="5"/>
        <v>0</v>
      </c>
      <c r="AA30" s="348">
        <f t="shared" si="5"/>
        <v>0</v>
      </c>
      <c r="AB30" s="348">
        <f t="shared" si="5"/>
        <v>0</v>
      </c>
      <c r="AC30" s="348">
        <f t="shared" si="5"/>
        <v>0</v>
      </c>
      <c r="AD30" s="348">
        <f t="shared" si="5"/>
        <v>0</v>
      </c>
      <c r="AE30" s="348">
        <f t="shared" si="5"/>
        <v>0</v>
      </c>
    </row>
    <row r="31" spans="1:31" ht="78.75">
      <c r="A31" s="346">
        <v>13</v>
      </c>
      <c r="B31" s="356" t="s">
        <v>306</v>
      </c>
      <c r="C31" s="356">
        <f>265+204</f>
        <v>469</v>
      </c>
      <c r="D31" s="348">
        <f t="shared" si="4"/>
        <v>265</v>
      </c>
      <c r="E31" s="348">
        <f t="shared" si="4"/>
        <v>261</v>
      </c>
      <c r="F31" s="348">
        <f>H31+L31+J31</f>
        <v>50</v>
      </c>
      <c r="G31" s="348">
        <f>I31+M31+K31</f>
        <v>46</v>
      </c>
      <c r="H31" s="357"/>
      <c r="I31" s="357"/>
      <c r="J31" s="357"/>
      <c r="K31" s="357"/>
      <c r="L31" s="357">
        <v>50</v>
      </c>
      <c r="M31" s="357">
        <v>46</v>
      </c>
      <c r="N31" s="357"/>
      <c r="O31" s="357"/>
      <c r="P31" s="357">
        <v>15</v>
      </c>
      <c r="Q31" s="357">
        <v>15</v>
      </c>
      <c r="R31" s="357">
        <v>200</v>
      </c>
      <c r="S31" s="357">
        <v>200</v>
      </c>
      <c r="T31" s="357"/>
      <c r="U31" s="357"/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</row>
    <row r="32" spans="1:31" ht="18.75">
      <c r="A32" s="358"/>
      <c r="B32" s="359" t="s">
        <v>307</v>
      </c>
      <c r="C32" s="359">
        <f>C31+C30</f>
        <v>990</v>
      </c>
      <c r="D32" s="348">
        <f t="shared" si="4"/>
        <v>830</v>
      </c>
      <c r="E32" s="348">
        <f t="shared" si="4"/>
        <v>788</v>
      </c>
      <c r="F32" s="360">
        <f>F30+F31</f>
        <v>268</v>
      </c>
      <c r="G32" s="360">
        <f>G30+G31</f>
        <v>240</v>
      </c>
      <c r="H32" s="360">
        <f aca="true" t="shared" si="6" ref="H32:AE32">H30+H31</f>
        <v>25</v>
      </c>
      <c r="I32" s="360">
        <f t="shared" si="6"/>
        <v>20</v>
      </c>
      <c r="J32" s="360">
        <f t="shared" si="6"/>
        <v>32</v>
      </c>
      <c r="K32" s="360">
        <f t="shared" si="6"/>
        <v>32</v>
      </c>
      <c r="L32" s="360">
        <f t="shared" si="6"/>
        <v>211</v>
      </c>
      <c r="M32" s="360">
        <f t="shared" si="6"/>
        <v>188</v>
      </c>
      <c r="N32" s="360">
        <f t="shared" si="6"/>
        <v>50</v>
      </c>
      <c r="O32" s="360">
        <f t="shared" si="6"/>
        <v>46</v>
      </c>
      <c r="P32" s="360">
        <f t="shared" si="6"/>
        <v>144</v>
      </c>
      <c r="Q32" s="360">
        <f t="shared" si="6"/>
        <v>137</v>
      </c>
      <c r="R32" s="360">
        <f t="shared" si="6"/>
        <v>368</v>
      </c>
      <c r="S32" s="360">
        <f t="shared" si="6"/>
        <v>365</v>
      </c>
      <c r="T32" s="360">
        <f t="shared" si="6"/>
        <v>0</v>
      </c>
      <c r="U32" s="360">
        <f t="shared" si="6"/>
        <v>0</v>
      </c>
      <c r="V32" s="360">
        <f t="shared" si="6"/>
        <v>0</v>
      </c>
      <c r="W32" s="360">
        <f t="shared" si="6"/>
        <v>0</v>
      </c>
      <c r="X32" s="360">
        <f t="shared" si="6"/>
        <v>0</v>
      </c>
      <c r="Y32" s="360">
        <f t="shared" si="6"/>
        <v>0</v>
      </c>
      <c r="Z32" s="360">
        <f t="shared" si="6"/>
        <v>0</v>
      </c>
      <c r="AA32" s="360">
        <f t="shared" si="6"/>
        <v>0</v>
      </c>
      <c r="AB32" s="360">
        <f t="shared" si="6"/>
        <v>0</v>
      </c>
      <c r="AC32" s="360">
        <f t="shared" si="6"/>
        <v>0</v>
      </c>
      <c r="AD32" s="360">
        <f t="shared" si="6"/>
        <v>0</v>
      </c>
      <c r="AE32" s="360">
        <f t="shared" si="6"/>
        <v>0</v>
      </c>
    </row>
    <row r="33" spans="2:31" ht="58.5" customHeight="1">
      <c r="B33" s="992" t="s">
        <v>379</v>
      </c>
      <c r="C33" s="992"/>
      <c r="D33" s="992"/>
      <c r="E33" s="992"/>
      <c r="F33" s="992"/>
      <c r="G33" s="992"/>
      <c r="H33" s="992"/>
      <c r="I33" s="992"/>
      <c r="J33" s="992"/>
      <c r="K33" s="992"/>
      <c r="L33" s="992"/>
      <c r="M33" s="992"/>
      <c r="N33" s="992"/>
      <c r="O33" s="992"/>
      <c r="P33" s="992"/>
      <c r="Q33" s="992"/>
      <c r="R33" s="992"/>
      <c r="S33" s="992"/>
      <c r="T33" s="992"/>
      <c r="U33" s="992"/>
      <c r="V33" s="992"/>
      <c r="W33" s="992"/>
      <c r="X33" s="992"/>
      <c r="Y33" s="992"/>
      <c r="Z33" s="992"/>
      <c r="AA33" s="992"/>
      <c r="AB33" s="992"/>
      <c r="AC33" s="992"/>
      <c r="AD33" s="992"/>
      <c r="AE33" s="992"/>
    </row>
    <row r="34" spans="2:31" ht="58.5" customHeight="1">
      <c r="B34" s="986"/>
      <c r="C34" s="986"/>
      <c r="D34" s="986"/>
      <c r="E34" s="986"/>
      <c r="F34" s="986"/>
      <c r="G34" s="986"/>
      <c r="H34" s="986"/>
      <c r="I34" s="986"/>
      <c r="J34" s="986"/>
      <c r="K34" s="986"/>
      <c r="L34" s="986"/>
      <c r="M34" s="986"/>
      <c r="N34" s="986"/>
      <c r="O34" s="986"/>
      <c r="P34" s="986"/>
      <c r="Q34" s="986"/>
      <c r="R34" s="986"/>
      <c r="S34" s="986"/>
      <c r="T34" s="986"/>
      <c r="U34" s="986"/>
      <c r="V34" s="986"/>
      <c r="W34" s="986"/>
      <c r="X34" s="986"/>
      <c r="Y34" s="986"/>
      <c r="Z34" s="986"/>
      <c r="AA34" s="986"/>
      <c r="AB34" s="986"/>
      <c r="AC34" s="986"/>
      <c r="AD34" s="986"/>
      <c r="AE34" s="986"/>
    </row>
    <row r="38" spans="4:5" ht="92.25" customHeight="1">
      <c r="D38" s="361"/>
      <c r="E38" s="361"/>
    </row>
  </sheetData>
  <sheetProtection password="CE28" sheet="1" objects="1" scenarios="1"/>
  <protectedRanges>
    <protectedRange sqref="A33:AA33" name="Диапазон3"/>
    <protectedRange sqref="A1:AE2 N7:AE7 H9:AE13 H15:AE16 H18:AE28 H31:AE31 C9:C13 C15:C16 C18:C27 C29 C31" name="Диапазон1"/>
    <protectedRange sqref="H29:AE29" name="Диапазон2"/>
    <protectedRange sqref="B33:C34" name="Диапазон4"/>
  </protectedRanges>
  <mergeCells count="27">
    <mergeCell ref="B34:AE34"/>
    <mergeCell ref="C3:C8"/>
    <mergeCell ref="V7:W7"/>
    <mergeCell ref="X7:Y7"/>
    <mergeCell ref="Z7:AA7"/>
    <mergeCell ref="AB7:AC7"/>
    <mergeCell ref="AD7:AE7"/>
    <mergeCell ref="B33:AE33"/>
    <mergeCell ref="L4:M6"/>
    <mergeCell ref="N6:O6"/>
    <mergeCell ref="P6:Q6"/>
    <mergeCell ref="R6:S6"/>
    <mergeCell ref="T6:U6"/>
    <mergeCell ref="N7:O7"/>
    <mergeCell ref="P7:Q7"/>
    <mergeCell ref="R7:S7"/>
    <mergeCell ref="T7:U7"/>
    <mergeCell ref="A1:T1"/>
    <mergeCell ref="A2:AE2"/>
    <mergeCell ref="A3:A8"/>
    <mergeCell ref="B3:B8"/>
    <mergeCell ref="D3:E7"/>
    <mergeCell ref="F3:M3"/>
    <mergeCell ref="N3:AE5"/>
    <mergeCell ref="F4:G6"/>
    <mergeCell ref="H4:I6"/>
    <mergeCell ref="J4:K6"/>
  </mergeCells>
  <printOptions/>
  <pageMargins left="0.15748031496063" right="0.15748031496063" top="0.196850393700787" bottom="0.275590551181102" header="0.15748031496063" footer="0.15748031496063"/>
  <pageSetup fitToWidth="2" horizontalDpi="600" verticalDpi="600" orientation="landscape" paperSize="9" scale="55" r:id="rId1"/>
  <colBreaks count="1" manualBreakCount="1">
    <brk id="19" max="3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35"/>
  <sheetViews>
    <sheetView view="pageBreakPreview" zoomScale="55" zoomScaleSheetLayoutView="55" zoomScalePageLayoutView="0" workbookViewId="0" topLeftCell="A1">
      <pane xSplit="6" ySplit="7" topLeftCell="G8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O22" sqref="O22"/>
    </sheetView>
  </sheetViews>
  <sheetFormatPr defaultColWidth="9.00390625" defaultRowHeight="12.75"/>
  <cols>
    <col min="1" max="1" width="7.25390625" style="363" customWidth="1"/>
    <col min="2" max="2" width="39.75390625" style="363" customWidth="1"/>
    <col min="3" max="3" width="12.875" style="363" customWidth="1"/>
    <col min="4" max="4" width="14.375" style="363" customWidth="1"/>
    <col min="5" max="5" width="18.375" style="363" customWidth="1"/>
    <col min="6" max="6" width="19.625" style="363" customWidth="1"/>
    <col min="7" max="26" width="18.125" style="382" customWidth="1"/>
    <col min="27" max="16384" width="9.125" style="363" customWidth="1"/>
  </cols>
  <sheetData>
    <row r="1" spans="1:26" s="362" customFormat="1" ht="23.25">
      <c r="A1" s="994" t="s">
        <v>309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S1" s="994"/>
      <c r="T1" s="994"/>
      <c r="U1" s="994"/>
      <c r="V1" s="994"/>
      <c r="W1" s="994"/>
      <c r="X1" s="994"/>
      <c r="Y1" s="994"/>
      <c r="Z1" s="994"/>
    </row>
    <row r="2" spans="1:26" s="362" customFormat="1" ht="23.25">
      <c r="A2" s="994" t="s">
        <v>310</v>
      </c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994"/>
      <c r="S2" s="994"/>
      <c r="T2" s="994"/>
      <c r="U2" s="994"/>
      <c r="V2" s="994"/>
      <c r="W2" s="994"/>
      <c r="X2" s="994"/>
      <c r="Y2" s="994"/>
      <c r="Z2" s="994"/>
    </row>
    <row r="3" spans="1:26" ht="25.5" customHeight="1">
      <c r="A3" s="995" t="s">
        <v>311</v>
      </c>
      <c r="B3" s="995" t="s">
        <v>4</v>
      </c>
      <c r="C3" s="995" t="s">
        <v>312</v>
      </c>
      <c r="D3" s="995" t="s">
        <v>340</v>
      </c>
      <c r="E3" s="997" t="s">
        <v>313</v>
      </c>
      <c r="F3" s="998"/>
      <c r="G3" s="1001" t="s">
        <v>356</v>
      </c>
      <c r="H3" s="1002"/>
      <c r="I3" s="1002"/>
      <c r="J3" s="1002"/>
      <c r="K3" s="1002"/>
      <c r="L3" s="1002"/>
      <c r="M3" s="1002"/>
      <c r="N3" s="1002"/>
      <c r="O3" s="1002"/>
      <c r="P3" s="1002"/>
      <c r="Q3" s="1002"/>
      <c r="R3" s="1002"/>
      <c r="S3" s="1002"/>
      <c r="T3" s="1002"/>
      <c r="U3" s="1002"/>
      <c r="V3" s="1002"/>
      <c r="W3" s="1002"/>
      <c r="X3" s="1002"/>
      <c r="Y3" s="1002"/>
      <c r="Z3" s="1003"/>
    </row>
    <row r="4" spans="1:26" ht="25.5">
      <c r="A4" s="996"/>
      <c r="B4" s="996"/>
      <c r="C4" s="996"/>
      <c r="D4" s="996"/>
      <c r="E4" s="999"/>
      <c r="F4" s="1000"/>
      <c r="G4" s="1004" t="s">
        <v>314</v>
      </c>
      <c r="H4" s="1005"/>
      <c r="I4" s="1005"/>
      <c r="J4" s="1005"/>
      <c r="K4" s="1005"/>
      <c r="L4" s="1005"/>
      <c r="M4" s="1005"/>
      <c r="N4" s="1005"/>
      <c r="O4" s="1005"/>
      <c r="P4" s="1005"/>
      <c r="Q4" s="1005"/>
      <c r="R4" s="1005"/>
      <c r="S4" s="1005"/>
      <c r="T4" s="1005"/>
      <c r="U4" s="1005"/>
      <c r="V4" s="1005"/>
      <c r="W4" s="1005"/>
      <c r="X4" s="1005"/>
      <c r="Y4" s="1005"/>
      <c r="Z4" s="1006"/>
    </row>
    <row r="5" spans="1:26" ht="25.5">
      <c r="A5" s="364"/>
      <c r="B5" s="365" t="s">
        <v>315</v>
      </c>
      <c r="C5" s="364" t="s">
        <v>19</v>
      </c>
      <c r="D5" s="383"/>
      <c r="E5" s="366">
        <v>57.6</v>
      </c>
      <c r="F5" s="367"/>
      <c r="G5" s="1007"/>
      <c r="H5" s="1008"/>
      <c r="I5" s="1008"/>
      <c r="J5" s="1008"/>
      <c r="K5" s="1008"/>
      <c r="L5" s="1008"/>
      <c r="M5" s="1008"/>
      <c r="N5" s="1008"/>
      <c r="O5" s="1008"/>
      <c r="P5" s="1008"/>
      <c r="Q5" s="1008"/>
      <c r="R5" s="1008"/>
      <c r="S5" s="1008"/>
      <c r="T5" s="1008"/>
      <c r="U5" s="1008"/>
      <c r="V5" s="1008"/>
      <c r="W5" s="1008"/>
      <c r="X5" s="1008"/>
      <c r="Y5" s="1008"/>
      <c r="Z5" s="1009"/>
    </row>
    <row r="6" spans="1:26" ht="25.5" customHeight="1">
      <c r="A6" s="364"/>
      <c r="B6" s="365" t="s">
        <v>316</v>
      </c>
      <c r="C6" s="368" t="s">
        <v>23</v>
      </c>
      <c r="D6" s="384"/>
      <c r="E6" s="369" t="s">
        <v>361</v>
      </c>
      <c r="F6" s="370"/>
      <c r="G6" s="1019" t="s">
        <v>317</v>
      </c>
      <c r="H6" s="1020"/>
      <c r="I6" s="1014" t="s">
        <v>371</v>
      </c>
      <c r="J6" s="1015"/>
      <c r="K6" s="1014" t="s">
        <v>372</v>
      </c>
      <c r="L6" s="1015"/>
      <c r="M6" s="1014" t="s">
        <v>358</v>
      </c>
      <c r="N6" s="1015"/>
      <c r="O6" s="1014" t="s">
        <v>373</v>
      </c>
      <c r="P6" s="1015"/>
      <c r="Q6" s="1014" t="s">
        <v>316</v>
      </c>
      <c r="R6" s="1015"/>
      <c r="S6" s="1014" t="s">
        <v>316</v>
      </c>
      <c r="T6" s="1015"/>
      <c r="U6" s="1014" t="s">
        <v>316</v>
      </c>
      <c r="V6" s="1015"/>
      <c r="W6" s="1014" t="s">
        <v>316</v>
      </c>
      <c r="X6" s="1015"/>
      <c r="Y6" s="1014" t="s">
        <v>316</v>
      </c>
      <c r="Z6" s="1015"/>
    </row>
    <row r="7" spans="1:26" ht="27" customHeight="1">
      <c r="A7" s="364"/>
      <c r="B7" s="365"/>
      <c r="C7" s="368"/>
      <c r="D7" s="368"/>
      <c r="E7" s="371" t="s">
        <v>318</v>
      </c>
      <c r="F7" s="371" t="s">
        <v>274</v>
      </c>
      <c r="G7" s="371" t="s">
        <v>318</v>
      </c>
      <c r="H7" s="371" t="s">
        <v>274</v>
      </c>
      <c r="I7" s="371" t="s">
        <v>318</v>
      </c>
      <c r="J7" s="371" t="s">
        <v>274</v>
      </c>
      <c r="K7" s="371" t="s">
        <v>318</v>
      </c>
      <c r="L7" s="371" t="s">
        <v>274</v>
      </c>
      <c r="M7" s="371" t="s">
        <v>318</v>
      </c>
      <c r="N7" s="371" t="s">
        <v>274</v>
      </c>
      <c r="O7" s="371" t="s">
        <v>318</v>
      </c>
      <c r="P7" s="371" t="s">
        <v>274</v>
      </c>
      <c r="Q7" s="371" t="s">
        <v>318</v>
      </c>
      <c r="R7" s="371" t="s">
        <v>274</v>
      </c>
      <c r="S7" s="371" t="s">
        <v>318</v>
      </c>
      <c r="T7" s="371" t="s">
        <v>274</v>
      </c>
      <c r="U7" s="371" t="s">
        <v>318</v>
      </c>
      <c r="V7" s="371" t="s">
        <v>274</v>
      </c>
      <c r="W7" s="371" t="s">
        <v>318</v>
      </c>
      <c r="X7" s="371" t="s">
        <v>274</v>
      </c>
      <c r="Y7" s="371" t="s">
        <v>318</v>
      </c>
      <c r="Z7" s="371" t="s">
        <v>274</v>
      </c>
    </row>
    <row r="8" spans="1:26" ht="25.5">
      <c r="A8" s="372">
        <v>1</v>
      </c>
      <c r="B8" s="373" t="s">
        <v>319</v>
      </c>
      <c r="C8" s="374" t="s">
        <v>23</v>
      </c>
      <c r="D8" s="374">
        <v>5</v>
      </c>
      <c r="E8" s="375">
        <f>G8+I8+K8+M8+Y8+O8+Q8+S8+U8+W8</f>
        <v>7</v>
      </c>
      <c r="F8" s="375">
        <f>H8+J8+L8+N8+Z8+P8+R8+T8+V8+X8</f>
        <v>3</v>
      </c>
      <c r="G8" s="376">
        <v>2</v>
      </c>
      <c r="H8" s="376">
        <v>2</v>
      </c>
      <c r="I8" s="376">
        <v>1</v>
      </c>
      <c r="J8" s="376">
        <v>1</v>
      </c>
      <c r="K8" s="376">
        <v>3</v>
      </c>
      <c r="L8" s="376"/>
      <c r="M8" s="376">
        <v>1</v>
      </c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</row>
    <row r="9" spans="1:26" ht="25.5">
      <c r="A9" s="372">
        <v>2</v>
      </c>
      <c r="B9" s="373" t="s">
        <v>320</v>
      </c>
      <c r="C9" s="374" t="s">
        <v>23</v>
      </c>
      <c r="D9" s="374">
        <v>4</v>
      </c>
      <c r="E9" s="375">
        <f aca="true" t="shared" si="0" ref="E9:F25">G9+I9+K9+M9+Y9+O9+Q9+S9+U9+W9</f>
        <v>6</v>
      </c>
      <c r="F9" s="375">
        <f t="shared" si="0"/>
        <v>3</v>
      </c>
      <c r="G9" s="376">
        <v>1</v>
      </c>
      <c r="H9" s="376">
        <v>1</v>
      </c>
      <c r="I9" s="376">
        <v>1</v>
      </c>
      <c r="J9" s="376">
        <v>1</v>
      </c>
      <c r="K9" s="376">
        <v>3</v>
      </c>
      <c r="L9" s="376">
        <v>1</v>
      </c>
      <c r="M9" s="376"/>
      <c r="N9" s="376"/>
      <c r="O9" s="376">
        <v>1</v>
      </c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</row>
    <row r="10" spans="1:26" ht="25.5">
      <c r="A10" s="372">
        <v>3</v>
      </c>
      <c r="B10" s="373" t="s">
        <v>321</v>
      </c>
      <c r="C10" s="374" t="s">
        <v>23</v>
      </c>
      <c r="D10" s="391">
        <v>14</v>
      </c>
      <c r="E10" s="375">
        <f t="shared" si="0"/>
        <v>14</v>
      </c>
      <c r="F10" s="375">
        <f t="shared" si="0"/>
        <v>9</v>
      </c>
      <c r="G10" s="376">
        <v>6</v>
      </c>
      <c r="H10" s="376">
        <v>4</v>
      </c>
      <c r="I10" s="376">
        <v>1</v>
      </c>
      <c r="J10" s="376">
        <v>1</v>
      </c>
      <c r="K10" s="376">
        <v>4</v>
      </c>
      <c r="L10" s="376">
        <v>2</v>
      </c>
      <c r="M10" s="376">
        <v>2</v>
      </c>
      <c r="N10" s="376">
        <v>2</v>
      </c>
      <c r="O10" s="376">
        <v>1</v>
      </c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</row>
    <row r="11" spans="1:26" ht="25.5">
      <c r="A11" s="372">
        <v>4</v>
      </c>
      <c r="B11" s="373" t="s">
        <v>322</v>
      </c>
      <c r="C11" s="374" t="s">
        <v>23</v>
      </c>
      <c r="D11" s="391">
        <v>5</v>
      </c>
      <c r="E11" s="375">
        <f t="shared" si="0"/>
        <v>7</v>
      </c>
      <c r="F11" s="375">
        <f t="shared" si="0"/>
        <v>3</v>
      </c>
      <c r="G11" s="376">
        <v>3</v>
      </c>
      <c r="H11" s="376">
        <v>2</v>
      </c>
      <c r="I11" s="376"/>
      <c r="J11" s="376"/>
      <c r="K11" s="376">
        <v>3</v>
      </c>
      <c r="L11" s="376"/>
      <c r="M11" s="376">
        <v>1</v>
      </c>
      <c r="N11" s="376">
        <v>1</v>
      </c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</row>
    <row r="12" spans="1:26" ht="25.5">
      <c r="A12" s="372">
        <v>5</v>
      </c>
      <c r="B12" s="373" t="s">
        <v>323</v>
      </c>
      <c r="C12" s="374" t="s">
        <v>23</v>
      </c>
      <c r="D12" s="391">
        <v>1</v>
      </c>
      <c r="E12" s="375">
        <f t="shared" si="0"/>
        <v>0</v>
      </c>
      <c r="F12" s="375">
        <f t="shared" si="0"/>
        <v>0</v>
      </c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</row>
    <row r="13" spans="1:26" ht="25.5">
      <c r="A13" s="372">
        <v>6</v>
      </c>
      <c r="B13" s="373" t="s">
        <v>324</v>
      </c>
      <c r="C13" s="374" t="s">
        <v>23</v>
      </c>
      <c r="D13" s="391">
        <v>28</v>
      </c>
      <c r="E13" s="375">
        <f t="shared" si="0"/>
        <v>20</v>
      </c>
      <c r="F13" s="375">
        <f t="shared" si="0"/>
        <v>5</v>
      </c>
      <c r="G13" s="376">
        <v>10</v>
      </c>
      <c r="H13" s="376"/>
      <c r="I13" s="376"/>
      <c r="J13" s="376"/>
      <c r="K13" s="376">
        <v>4</v>
      </c>
      <c r="L13" s="376"/>
      <c r="M13" s="376">
        <v>6</v>
      </c>
      <c r="N13" s="376">
        <v>5</v>
      </c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</row>
    <row r="14" spans="1:26" ht="25.5">
      <c r="A14" s="372">
        <v>7</v>
      </c>
      <c r="B14" s="373" t="s">
        <v>325</v>
      </c>
      <c r="C14" s="374" t="s">
        <v>23</v>
      </c>
      <c r="D14" s="391">
        <v>4</v>
      </c>
      <c r="E14" s="375">
        <f t="shared" si="0"/>
        <v>4</v>
      </c>
      <c r="F14" s="375">
        <f t="shared" si="0"/>
        <v>0</v>
      </c>
      <c r="G14" s="376">
        <v>4</v>
      </c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</row>
    <row r="15" spans="1:26" ht="25.5">
      <c r="A15" s="372">
        <v>8</v>
      </c>
      <c r="B15" s="373" t="s">
        <v>326</v>
      </c>
      <c r="C15" s="374" t="s">
        <v>23</v>
      </c>
      <c r="D15" s="391">
        <v>134</v>
      </c>
      <c r="E15" s="375">
        <f t="shared" si="0"/>
        <v>104</v>
      </c>
      <c r="F15" s="375">
        <f t="shared" si="0"/>
        <v>87</v>
      </c>
      <c r="G15" s="376">
        <v>32</v>
      </c>
      <c r="H15" s="376">
        <v>28</v>
      </c>
      <c r="I15" s="376">
        <v>1</v>
      </c>
      <c r="J15" s="376">
        <v>1</v>
      </c>
      <c r="K15" s="376">
        <v>38</v>
      </c>
      <c r="L15" s="376">
        <v>30</v>
      </c>
      <c r="M15" s="376">
        <v>31</v>
      </c>
      <c r="N15" s="376">
        <v>28</v>
      </c>
      <c r="O15" s="376">
        <v>2</v>
      </c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</row>
    <row r="16" spans="1:26" ht="25.5">
      <c r="A16" s="372">
        <v>9</v>
      </c>
      <c r="B16" s="373" t="s">
        <v>327</v>
      </c>
      <c r="C16" s="374" t="s">
        <v>23</v>
      </c>
      <c r="D16" s="391">
        <v>1</v>
      </c>
      <c r="E16" s="375">
        <f t="shared" si="0"/>
        <v>1</v>
      </c>
      <c r="F16" s="375">
        <f t="shared" si="0"/>
        <v>0</v>
      </c>
      <c r="G16" s="376">
        <v>1</v>
      </c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</row>
    <row r="17" spans="1:26" ht="32.25" customHeight="1">
      <c r="A17" s="372">
        <v>10</v>
      </c>
      <c r="B17" s="373" t="s">
        <v>328</v>
      </c>
      <c r="C17" s="374" t="s">
        <v>23</v>
      </c>
      <c r="D17" s="391">
        <v>10</v>
      </c>
      <c r="E17" s="375">
        <f t="shared" si="0"/>
        <v>9</v>
      </c>
      <c r="F17" s="375">
        <f t="shared" si="0"/>
        <v>0</v>
      </c>
      <c r="G17" s="376">
        <v>3</v>
      </c>
      <c r="H17" s="376"/>
      <c r="I17" s="376"/>
      <c r="J17" s="376"/>
      <c r="K17" s="376">
        <v>3</v>
      </c>
      <c r="L17" s="376"/>
      <c r="M17" s="376">
        <v>3</v>
      </c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</row>
    <row r="18" spans="1:26" ht="25.5">
      <c r="A18" s="372">
        <v>11</v>
      </c>
      <c r="B18" s="373" t="s">
        <v>329</v>
      </c>
      <c r="C18" s="374" t="s">
        <v>23</v>
      </c>
      <c r="D18" s="391">
        <v>5</v>
      </c>
      <c r="E18" s="375">
        <f t="shared" si="0"/>
        <v>7</v>
      </c>
      <c r="F18" s="375">
        <f t="shared" si="0"/>
        <v>2</v>
      </c>
      <c r="G18" s="377">
        <v>3</v>
      </c>
      <c r="H18" s="377">
        <v>2</v>
      </c>
      <c r="I18" s="377">
        <v>1</v>
      </c>
      <c r="J18" s="377"/>
      <c r="K18" s="376">
        <v>2</v>
      </c>
      <c r="L18" s="376"/>
      <c r="M18" s="377"/>
      <c r="N18" s="377"/>
      <c r="O18" s="377">
        <v>1</v>
      </c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</row>
    <row r="19" spans="1:26" ht="25.5">
      <c r="A19" s="372">
        <v>12</v>
      </c>
      <c r="B19" s="373" t="s">
        <v>330</v>
      </c>
      <c r="C19" s="374" t="s">
        <v>23</v>
      </c>
      <c r="D19" s="391">
        <v>1</v>
      </c>
      <c r="E19" s="375">
        <f t="shared" si="0"/>
        <v>2</v>
      </c>
      <c r="F19" s="375">
        <f t="shared" si="0"/>
        <v>2</v>
      </c>
      <c r="G19" s="377">
        <v>1</v>
      </c>
      <c r="H19" s="377">
        <v>1</v>
      </c>
      <c r="I19" s="377"/>
      <c r="J19" s="377"/>
      <c r="K19" s="376">
        <v>1</v>
      </c>
      <c r="L19" s="376">
        <v>1</v>
      </c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</row>
    <row r="20" spans="1:26" ht="25.5">
      <c r="A20" s="372">
        <v>13</v>
      </c>
      <c r="B20" s="373" t="s">
        <v>331</v>
      </c>
      <c r="C20" s="374" t="s">
        <v>23</v>
      </c>
      <c r="D20" s="391">
        <v>24</v>
      </c>
      <c r="E20" s="375">
        <f t="shared" si="0"/>
        <v>24</v>
      </c>
      <c r="F20" s="375">
        <f t="shared" si="0"/>
        <v>15</v>
      </c>
      <c r="G20" s="377">
        <v>1</v>
      </c>
      <c r="H20" s="377">
        <v>1</v>
      </c>
      <c r="I20" s="377">
        <v>10</v>
      </c>
      <c r="J20" s="377">
        <v>5</v>
      </c>
      <c r="K20" s="376">
        <v>2</v>
      </c>
      <c r="L20" s="376"/>
      <c r="M20" s="377">
        <v>6</v>
      </c>
      <c r="N20" s="377">
        <v>6</v>
      </c>
      <c r="O20" s="377">
        <v>5</v>
      </c>
      <c r="P20" s="377">
        <v>3</v>
      </c>
      <c r="Q20" s="377"/>
      <c r="R20" s="377"/>
      <c r="S20" s="377"/>
      <c r="T20" s="377"/>
      <c r="U20" s="377"/>
      <c r="V20" s="377"/>
      <c r="W20" s="377"/>
      <c r="X20" s="377"/>
      <c r="Y20" s="377"/>
      <c r="Z20" s="377"/>
    </row>
    <row r="21" spans="1:26" ht="25.5">
      <c r="A21" s="372">
        <v>14</v>
      </c>
      <c r="B21" s="373" t="s">
        <v>332</v>
      </c>
      <c r="C21" s="374" t="s">
        <v>23</v>
      </c>
      <c r="D21" s="391">
        <v>2</v>
      </c>
      <c r="E21" s="375">
        <f t="shared" si="0"/>
        <v>2</v>
      </c>
      <c r="F21" s="375">
        <f t="shared" si="0"/>
        <v>2</v>
      </c>
      <c r="G21" s="377">
        <v>2</v>
      </c>
      <c r="H21" s="377">
        <v>2</v>
      </c>
      <c r="I21" s="377"/>
      <c r="J21" s="377"/>
      <c r="K21" s="376"/>
      <c r="L21" s="376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</row>
    <row r="22" spans="1:26" ht="25.5">
      <c r="A22" s="372">
        <v>15</v>
      </c>
      <c r="B22" s="373" t="s">
        <v>333</v>
      </c>
      <c r="C22" s="374" t="s">
        <v>23</v>
      </c>
      <c r="D22" s="391">
        <v>4</v>
      </c>
      <c r="E22" s="375">
        <f t="shared" si="0"/>
        <v>4</v>
      </c>
      <c r="F22" s="375">
        <f t="shared" si="0"/>
        <v>4</v>
      </c>
      <c r="G22" s="377">
        <v>1</v>
      </c>
      <c r="H22" s="377">
        <v>1</v>
      </c>
      <c r="I22" s="377">
        <v>1</v>
      </c>
      <c r="J22" s="377">
        <v>1</v>
      </c>
      <c r="K22" s="377">
        <v>2</v>
      </c>
      <c r="L22" s="377">
        <v>2</v>
      </c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</row>
    <row r="23" spans="1:26" ht="25.5">
      <c r="A23" s="372">
        <v>16</v>
      </c>
      <c r="B23" s="373" t="s">
        <v>334</v>
      </c>
      <c r="C23" s="374" t="s">
        <v>23</v>
      </c>
      <c r="D23" s="391">
        <v>3</v>
      </c>
      <c r="E23" s="375">
        <f t="shared" si="0"/>
        <v>3</v>
      </c>
      <c r="F23" s="375">
        <f t="shared" si="0"/>
        <v>3</v>
      </c>
      <c r="G23" s="377">
        <v>2</v>
      </c>
      <c r="H23" s="377">
        <v>2</v>
      </c>
      <c r="I23" s="377"/>
      <c r="J23" s="377"/>
      <c r="K23" s="377"/>
      <c r="L23" s="377"/>
      <c r="M23" s="377">
        <v>1</v>
      </c>
      <c r="N23" s="377">
        <v>1</v>
      </c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</row>
    <row r="24" spans="1:26" ht="25.5">
      <c r="A24" s="372">
        <v>17</v>
      </c>
      <c r="B24" s="373" t="s">
        <v>335</v>
      </c>
      <c r="C24" s="374" t="s">
        <v>23</v>
      </c>
      <c r="D24" s="391">
        <v>6</v>
      </c>
      <c r="E24" s="375">
        <f t="shared" si="0"/>
        <v>20</v>
      </c>
      <c r="F24" s="375">
        <f t="shared" si="0"/>
        <v>20</v>
      </c>
      <c r="G24" s="377">
        <v>12</v>
      </c>
      <c r="H24" s="377">
        <v>12</v>
      </c>
      <c r="I24" s="377"/>
      <c r="J24" s="377"/>
      <c r="K24" s="377">
        <v>3</v>
      </c>
      <c r="L24" s="377">
        <v>3</v>
      </c>
      <c r="M24" s="377">
        <v>5</v>
      </c>
      <c r="N24" s="377">
        <v>5</v>
      </c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</row>
    <row r="25" spans="1:26" ht="25.5">
      <c r="A25" s="372">
        <v>18</v>
      </c>
      <c r="B25" s="373" t="s">
        <v>336</v>
      </c>
      <c r="C25" s="374" t="s">
        <v>23</v>
      </c>
      <c r="D25" s="391">
        <v>0</v>
      </c>
      <c r="E25" s="375">
        <f t="shared" si="0"/>
        <v>0</v>
      </c>
      <c r="F25" s="375">
        <f t="shared" si="0"/>
        <v>0</v>
      </c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</row>
    <row r="26" spans="1:26" ht="25.5">
      <c r="A26" s="378"/>
      <c r="B26" s="378" t="s">
        <v>337</v>
      </c>
      <c r="C26" s="374" t="s">
        <v>23</v>
      </c>
      <c r="D26" s="374">
        <f>D8+D9+D10+D11+D12+D13+D14+D15+D16+D17+D18+D19+D20+D21+D22+D23+D24+D25</f>
        <v>251</v>
      </c>
      <c r="E26" s="379">
        <f>SUM(E8:E25)</f>
        <v>234</v>
      </c>
      <c r="F26" s="379">
        <f>SUM(F8:F25)</f>
        <v>158</v>
      </c>
      <c r="G26" s="380">
        <f>SUM(G8:G25)</f>
        <v>84</v>
      </c>
      <c r="H26" s="380">
        <f aca="true" t="shared" si="1" ref="H26:Z26">SUM(H8:H25)</f>
        <v>58</v>
      </c>
      <c r="I26" s="380">
        <f t="shared" si="1"/>
        <v>16</v>
      </c>
      <c r="J26" s="380">
        <f t="shared" si="1"/>
        <v>10</v>
      </c>
      <c r="K26" s="380">
        <f t="shared" si="1"/>
        <v>68</v>
      </c>
      <c r="L26" s="380">
        <f t="shared" si="1"/>
        <v>39</v>
      </c>
      <c r="M26" s="380">
        <f t="shared" si="1"/>
        <v>56</v>
      </c>
      <c r="N26" s="380">
        <f t="shared" si="1"/>
        <v>48</v>
      </c>
      <c r="O26" s="380">
        <f t="shared" si="1"/>
        <v>10</v>
      </c>
      <c r="P26" s="380">
        <f t="shared" si="1"/>
        <v>3</v>
      </c>
      <c r="Q26" s="380">
        <f t="shared" si="1"/>
        <v>0</v>
      </c>
      <c r="R26" s="380">
        <f t="shared" si="1"/>
        <v>0</v>
      </c>
      <c r="S26" s="380">
        <f t="shared" si="1"/>
        <v>0</v>
      </c>
      <c r="T26" s="380">
        <f t="shared" si="1"/>
        <v>0</v>
      </c>
      <c r="U26" s="380">
        <f t="shared" si="1"/>
        <v>0</v>
      </c>
      <c r="V26" s="380">
        <f t="shared" si="1"/>
        <v>0</v>
      </c>
      <c r="W26" s="380">
        <f t="shared" si="1"/>
        <v>0</v>
      </c>
      <c r="X26" s="380">
        <f t="shared" si="1"/>
        <v>0</v>
      </c>
      <c r="Y26" s="380">
        <f t="shared" si="1"/>
        <v>0</v>
      </c>
      <c r="Z26" s="380">
        <f t="shared" si="1"/>
        <v>0</v>
      </c>
    </row>
    <row r="27" spans="1:26" ht="25.5">
      <c r="A27" s="1010" t="s">
        <v>338</v>
      </c>
      <c r="B27" s="1010"/>
      <c r="C27" s="1010"/>
      <c r="D27" s="385"/>
      <c r="E27" s="1016">
        <f>G26+I26+K26+M26+Y26+W26+U26+S26+Q26+O26</f>
        <v>234</v>
      </c>
      <c r="F27" s="1017"/>
      <c r="G27" s="1017"/>
      <c r="H27" s="1017"/>
      <c r="I27" s="1017"/>
      <c r="J27" s="1017"/>
      <c r="K27" s="1017"/>
      <c r="L27" s="1017"/>
      <c r="M27" s="1017"/>
      <c r="N27" s="1017"/>
      <c r="O27" s="1017"/>
      <c r="P27" s="1017"/>
      <c r="Q27" s="1017"/>
      <c r="R27" s="1017"/>
      <c r="S27" s="1017"/>
      <c r="T27" s="1017"/>
      <c r="U27" s="1017"/>
      <c r="V27" s="1017"/>
      <c r="W27" s="1017"/>
      <c r="X27" s="1017"/>
      <c r="Y27" s="1017"/>
      <c r="Z27" s="1018"/>
    </row>
    <row r="28" spans="1:26" ht="26.25">
      <c r="A28" s="1010" t="s">
        <v>339</v>
      </c>
      <c r="B28" s="1010"/>
      <c r="C28" s="1010"/>
      <c r="D28" s="385"/>
      <c r="E28" s="1011">
        <f>H26+J26+L26+N26+Z26+X26+V26+T26+R26+P26</f>
        <v>158</v>
      </c>
      <c r="F28" s="1012"/>
      <c r="G28" s="1012"/>
      <c r="H28" s="1012"/>
      <c r="I28" s="1012"/>
      <c r="J28" s="1012"/>
      <c r="K28" s="1012"/>
      <c r="L28" s="1012"/>
      <c r="M28" s="1012"/>
      <c r="N28" s="1012"/>
      <c r="O28" s="1012"/>
      <c r="P28" s="1012"/>
      <c r="Q28" s="1012"/>
      <c r="R28" s="1012"/>
      <c r="S28" s="1012"/>
      <c r="T28" s="1012"/>
      <c r="U28" s="1012"/>
      <c r="V28" s="1012"/>
      <c r="W28" s="1012"/>
      <c r="X28" s="1012"/>
      <c r="Y28" s="1012"/>
      <c r="Z28" s="1013"/>
    </row>
    <row r="29" spans="7:26" ht="43.5" customHeight="1">
      <c r="G29" s="381" t="s">
        <v>380</v>
      </c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</row>
    <row r="30" spans="7:26" ht="43.5" customHeight="1"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</row>
    <row r="35" ht="25.5">
      <c r="F35" s="374"/>
    </row>
  </sheetData>
  <sheetProtection password="CE28" sheet="1" objects="1" scenarios="1"/>
  <protectedRanges>
    <protectedRange sqref="G8:Z25 I6 K6 M6 O6 Q6 S6 U6 W6 Y6 G3:Z5 A1:Z2 E5:F6 D8:D25" name="Диапазон1"/>
    <protectedRange sqref="A29:Z30" name="Диапазон2"/>
  </protectedRanges>
  <mergeCells count="23">
    <mergeCell ref="A28:C28"/>
    <mergeCell ref="E28:Z28"/>
    <mergeCell ref="D3:D4"/>
    <mergeCell ref="S6:T6"/>
    <mergeCell ref="U6:V6"/>
    <mergeCell ref="W6:X6"/>
    <mergeCell ref="Y6:Z6"/>
    <mergeCell ref="A27:C27"/>
    <mergeCell ref="E27:Z27"/>
    <mergeCell ref="G6:H6"/>
    <mergeCell ref="I6:J6"/>
    <mergeCell ref="K6:L6"/>
    <mergeCell ref="M6:N6"/>
    <mergeCell ref="O6:P6"/>
    <mergeCell ref="Q6:R6"/>
    <mergeCell ref="A1:Z1"/>
    <mergeCell ref="A2:Z2"/>
    <mergeCell ref="A3:A4"/>
    <mergeCell ref="B3:B4"/>
    <mergeCell ref="C3:C4"/>
    <mergeCell ref="E3:F4"/>
    <mergeCell ref="G3:Z3"/>
    <mergeCell ref="G4:Z5"/>
  </mergeCells>
  <printOptions/>
  <pageMargins left="0.1968503937007874" right="0.1968503937007874" top="0.7874015748031497" bottom="0.7874015748031497" header="0.31496062992125984" footer="0.31496062992125984"/>
  <pageSetup fitToWidth="2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Азамат</dc:creator>
  <cp:keywords/>
  <dc:description/>
  <cp:lastModifiedBy>Котёныш</cp:lastModifiedBy>
  <cp:lastPrinted>2012-02-13T05:50:42Z</cp:lastPrinted>
  <dcterms:created xsi:type="dcterms:W3CDTF">2012-01-30T11:16:15Z</dcterms:created>
  <dcterms:modified xsi:type="dcterms:W3CDTF">2012-02-23T05:02:17Z</dcterms:modified>
  <cp:category/>
  <cp:version/>
  <cp:contentType/>
  <cp:contentStatus/>
</cp:coreProperties>
</file>